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commentsmeta4"/>
  <Override ContentType="application/binary" PartName="/xl/commentsmeta5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deling" sheetId="1" r:id="rId4"/>
    <sheet state="visible" name="KM1" sheetId="2" r:id="rId5"/>
    <sheet state="visible" name="KM2" sheetId="3" r:id="rId6"/>
    <sheet state="visible" name="KM3" sheetId="4" r:id="rId7"/>
    <sheet state="visible" name="KM4" sheetId="5" r:id="rId8"/>
    <sheet state="visible" name="KM5" sheetId="6" r:id="rId9"/>
    <sheet state="visible" name="Cantor" sheetId="7" r:id="rId10"/>
    <sheet state="visible" name="Salaristabellen" sheetId="8" r:id="rId11"/>
  </sheets>
  <definedNames/>
  <calcPr/>
  <extLst>
    <ext uri="GoogleSheetsCustomDataVersion2">
      <go:sheetsCustomData xmlns:go="http://customooxmlschemas.google.com/" r:id="rId12" roundtripDataChecksum="QEKRcRXQ8nYk63LdppGK+jDTACcisYmfPPpPHff8fV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56">
      <text>
        <t xml:space="preserve">======
ID#AAAAEDJA_gQ
    (2019-12-10 10:51:33)
Dit geldt voor een orgel met 0 t/m 3 tongwerken. Indien het orgel 4 t/m 6
tongwerken heeft, wordt het aantal e.h. met 5 verhoogd. Enz.</t>
      </text>
    </comment>
    <comment authorId="0" ref="E36">
      <text>
        <t xml:space="preserve">======
ID#AAAAEDJA_gM
    (2019-12-10 10:51:33)
Hier invullen aantal dienstjaren dat men én een aanstelling had én de bevoegdheid als bedoeld in stap 2</t>
      </text>
    </comment>
    <comment authorId="0" ref="H22">
      <text>
        <t xml:space="preserve">======
ID#AAAAEDJA_gA
    (2019-12-10 10:51:33)
Hier datum van kerkenraadsbesluit invullen
Format dd-mm-jjjj</t>
      </text>
    </comment>
    <comment authorId="0" ref="F54">
      <text>
        <t xml:space="preserve">======
ID#AAAAEDJA_fo
    (2019-12-10 10:51:33)
Wordt overgenomen van het werkblad Verdeling</t>
      </text>
    </comment>
    <comment authorId="0" ref="I17">
      <text>
        <t xml:space="preserve">======
ID#AAAAEDJA_fY
    (2019-12-10 10:51:33)
Hier invullen het aantal kerkusici dat deze taak vervult: 1, 2, 3 , 4 of 5</t>
      </text>
    </comment>
    <comment authorId="0" ref="C21">
      <text>
        <t xml:space="preserve">======
ID#AAAAEDJA_e8
    (2019-12-10 10:51:33)
Hier invullen: I,II of III  
(Gebruik de "hoofdletter i")</t>
      </text>
    </comment>
    <comment authorId="0" ref="C22">
      <text>
        <t xml:space="preserve">======
ID#AAAAEDJA_d0
    (2019-12-10 10:51:33)
Hier invullen: I,II,III of nvt
(Gebruik de "hoofdletter i")</t>
      </text>
    </comment>
    <comment authorId="0" ref="C26">
      <text>
        <t xml:space="preserve">======
ID#AAAAEDJA_cg
    (2019-12-10 10:51:33)
Hier invullen:I,II,III of geen</t>
      </text>
    </comment>
    <comment authorId="0" ref="I3">
      <text>
        <t xml:space="preserve">======
ID#AAAAEDJA_cc
    (2019-12-10 10:51:33)
Datum invullen in het format dd-mm-jjjj</t>
      </text>
    </comment>
    <comment authorId="0" ref="H21">
      <text>
        <t xml:space="preserve">======
ID#AAAAEDJA_bs
    (2019-12-10 10:51:33)
Hier datum van kerkenraadsbesluit invullen
Format dd-mm-jjjj</t>
      </text>
    </comment>
    <comment authorId="0" ref="H36">
      <text>
        <t xml:space="preserve">======
ID#AAAAEDJA_bg
    (2019-12-10 10:51:33)
Hier invullen aantal dienstjaren dat men én een aanstelling had én de bevoegdheid als bedoeld in stap 2</t>
      </text>
    </comment>
    <comment authorId="0" ref="I5">
      <text>
        <t xml:space="preserve">======
ID#AAAAEDJA_bc
    (2019-12-10 10:51:33)
Datum in vullen in het format dd-mm-jjjj</t>
      </text>
    </comment>
    <comment authorId="0" ref="F57">
      <text>
        <t xml:space="preserve">======
ID#AAAAEDJA_bQ
    (2019-12-10 10:51:33)
Aantal  repetities per week:</t>
      </text>
    </comment>
    <comment authorId="0" ref="F32">
      <text>
        <t xml:space="preserve">======
ID#AAAAEDJA_aw
    (2019-12-10 10:51:33)
Hier datum  invullen
Format dd-mm-jjjj 
of nvt</t>
      </text>
    </comment>
    <comment authorId="0" ref="E55">
      <text>
        <t xml:space="preserve">======
ID#AAAAEDJA_ac
jrunherd    (2019-12-10 10:51:33)
moet minstens 5 e.h. per kerkgebouw zijn, 5 e.h. is ongeveer een half uur per week</t>
      </text>
    </comment>
    <comment authorId="0" ref="C14">
      <text>
        <t xml:space="preserve">======
ID#AAAAEDJA_aQ
hier invullen    (2019-12-10 10:51:33)
organist
 of
cantor-organist</t>
      </text>
    </comment>
    <comment authorId="0" ref="C27">
      <text>
        <t xml:space="preserve">======
ID#AAAAEDJA_aI
    (2019-12-10 10:51:33)
Hier invullen: I,II,III of geen</t>
      </text>
    </comment>
    <comment authorId="0" ref="I26">
      <text>
        <t xml:space="preserve">======
ID#AAAAEDJA_aE
    (2019-12-10 10:51:33)
Hier datum van uitreiking invullen
Format dd-mm-jjjj.
Indien geen bevoegdheid: nvt</t>
      </text>
    </comment>
  </commentList>
  <extLst>
    <ext uri="GoogleSheetsCustomDataVersion2">
      <go:sheetsCustomData xmlns:go="http://customooxmlschemas.google.com/" r:id="rId1" roundtripDataSignature="AMtx7mgoj4bVViS/N5zg482GQmutp6Lnp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2">
      <text>
        <t xml:space="preserve">======
ID#AAAAEDJA_fw
    (2019-12-10 10:51:33)
Hier invullen: I,II,III of nvt
(Gebruik de "hoofdletter i")</t>
      </text>
    </comment>
    <comment authorId="0" ref="H22">
      <text>
        <t xml:space="preserve">======
ID#AAAAEDJA_fs
    (2019-12-10 10:51:33)
Wordt overgenomen van werkblad KM1</t>
      </text>
    </comment>
    <comment authorId="0" ref="F54">
      <text>
        <t xml:space="preserve">======
ID#AAAAEDJA_fk
    (2019-12-10 10:51:33)
Wordt overgenomen van het werkblad Verdeling</t>
      </text>
    </comment>
    <comment authorId="0" ref="E56">
      <text>
        <t xml:space="preserve">======
ID#AAAAEDJA_fc
    (2019-12-10 10:51:33)
Dit geldt voor een orgel met 0 t/m 3 tongwerken. Indien het orgel 4 t/m 6
tongwerken heeft, wordt het aantal e.h. met 5 verhoogd. Enz.</t>
      </text>
    </comment>
    <comment authorId="0" ref="I26">
      <text>
        <t xml:space="preserve">======
ID#AAAAEDJA_fM
    (2019-12-10 10:51:33)
Hier datum  invullen
Format dd-mm-jjjj
of nvt</t>
      </text>
    </comment>
    <comment authorId="0" ref="F32">
      <text>
        <t xml:space="preserve">======
ID#AAAAEDJA_fI
    (2019-12-10 10:51:33)
Hier datum  invullen
Format dd-mm-jjjj 
of nvt</t>
      </text>
    </comment>
    <comment authorId="0" ref="C26">
      <text>
        <t xml:space="preserve">======
ID#AAAAEDJA_ew
    (2019-12-10 10:51:33)
Hier invullen:I,II,III of geen</t>
      </text>
    </comment>
    <comment authorId="0" ref="E36">
      <text>
        <t xml:space="preserve">======
ID#AAAAEDJA_es
    (2019-12-10 10:51:33)
Hier invullen aantal dienstjaren dat men én een aanstelling had én de bevoegdheid als bedoeld in stap 2</t>
      </text>
    </comment>
    <comment authorId="0" ref="I17">
      <text>
        <t xml:space="preserve">======
ID#AAAAEDJA_eY
    (2019-12-10 10:51:33)
Wordt op overgenomen van blad KM1</t>
      </text>
    </comment>
    <comment authorId="0" ref="H21">
      <text>
        <t xml:space="preserve">======
ID#AAAAEDJA_dg
    (2019-12-10 10:51:33)
Wordt overgenomen van werkblad KM1</t>
      </text>
    </comment>
    <comment authorId="0" ref="F57">
      <text>
        <t xml:space="preserve">======
ID#AAAAEDJA_dc
    (2019-12-10 10:51:33)
Aantal  repetities per week:</t>
      </text>
    </comment>
    <comment authorId="0" ref="I3">
      <text>
        <t xml:space="preserve">======
ID#AAAAEDJA_dY
    (2019-12-10 10:51:33)
Datum invullen in het format dd-mm-jjjj</t>
      </text>
    </comment>
    <comment authorId="0" ref="C14">
      <text>
        <t xml:space="preserve">======
ID#AAAAEDJA_cw
hier invullen    (2019-12-10 10:51:33)
organist
 of
cantor-organist</t>
      </text>
    </comment>
    <comment authorId="0" ref="C27">
      <text>
        <t xml:space="preserve">======
ID#AAAAEDJA_ck
    (2019-12-10 10:51:33)
Hier invullen: I,II,III of geen</t>
      </text>
    </comment>
    <comment authorId="0" ref="H36">
      <text>
        <t xml:space="preserve">======
ID#AAAAEDJA_b8
    (2019-12-10 10:51:33)
Hier invullen aantal dienstjaren dat men én een aanstelling had én de bevoegdheid als bedoeld in stap 2</t>
      </text>
    </comment>
    <comment authorId="0" ref="I27">
      <text>
        <t xml:space="preserve">======
ID#AAAAEDJA_bU
    (2019-12-10 10:51:33)
Hier datum  invullen
Format dd-mm-jjjj
of nvt</t>
      </text>
    </comment>
    <comment authorId="0" ref="I5">
      <text>
        <t xml:space="preserve">======
ID#AAAAEDJA_a0
    (2019-12-10 10:51:33)
Datum in vullen in het format dd-mm-jjjj</t>
      </text>
    </comment>
    <comment authorId="0" ref="C21">
      <text>
        <t xml:space="preserve">======
ID#AAAAEDJA_as
    (2019-12-10 10:51:33)
Hier invullen: I,II of III  
(Gebruik de "hoofdletter i")</t>
      </text>
    </comment>
  </commentList>
  <extLst>
    <ext uri="GoogleSheetsCustomDataVersion2">
      <go:sheetsCustomData xmlns:go="http://customooxmlschemas.google.com/" r:id="rId1" roundtripDataSignature="AMtx7mjRhsL9dIeEVI0HawjRqlsQscait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4">
      <text>
        <t xml:space="preserve">======
ID#AAAAEDJA_gE
hier invullen    (2019-12-10 10:51:33)
organist
 of
cantor-organist</t>
      </text>
    </comment>
    <comment authorId="0" ref="F54">
      <text>
        <t xml:space="preserve">======
ID#AAAAEDJA_eo
    (2019-12-10 10:51:33)
Wordt overgenomen van het werkblad Verdeling</t>
      </text>
    </comment>
    <comment authorId="0" ref="E56">
      <text>
        <t xml:space="preserve">======
ID#AAAAEDJA_eU
    (2019-12-10 10:51:33)
Dit geldt voor een orgel met 0 t/m 3 tongwerken. Indien het orgel 4 t/m 6
tongwerken heeft, wordt het aantal e.h. met 5 verhoogd. Enz.</t>
      </text>
    </comment>
    <comment authorId="0" ref="F57">
      <text>
        <t xml:space="preserve">======
ID#AAAAEDJA_eQ
    (2019-12-10 10:51:33)
Aantal  repetities per week:</t>
      </text>
    </comment>
    <comment authorId="0" ref="I17">
      <text>
        <t xml:space="preserve">======
ID#AAAAEDJA_eA
    (2019-12-10 10:51:33)
Wordt op overgenomen van blad KM1</t>
      </text>
    </comment>
    <comment authorId="0" ref="F32">
      <text>
        <t xml:space="preserve">======
ID#AAAAEDJA_d4
    (2019-12-10 10:51:33)
Hier datum  invullen
Format dd-mm-jjjj 
of nvt</t>
      </text>
    </comment>
    <comment authorId="0" ref="I27">
      <text>
        <t xml:space="preserve">======
ID#AAAAEDJA_do
    (2019-12-10 10:51:33)
Hier datum  invullen
Format dd-mm-jjjj
of nvt</t>
      </text>
    </comment>
    <comment authorId="0" ref="I26">
      <text>
        <t xml:space="preserve">======
ID#AAAAEDJA_dk
    (2019-12-10 10:51:33)
Hier datum  invullen
Format dd-mm-jjjj
of nvt</t>
      </text>
    </comment>
    <comment authorId="0" ref="H36">
      <text>
        <t xml:space="preserve">======
ID#AAAAEDJA_dI
    (2019-12-10 10:51:33)
Hier invullen aantal dienstjaren dat men én een aanstelling had én de bevoegdheid als bedoeld in stap 2</t>
      </text>
    </comment>
    <comment authorId="0" ref="H22">
      <text>
        <t xml:space="preserve">======
ID#AAAAEDJA_c8
    (2019-12-10 10:51:33)
Wordt overgenomen van werkblad KM1</t>
      </text>
    </comment>
    <comment authorId="0" ref="C22">
      <text>
        <t xml:space="preserve">======
ID#AAAAEDJA_co
    (2019-12-10 10:51:33)
Wordt overgenomen van werkblad KM1</t>
      </text>
    </comment>
    <comment authorId="0" ref="I5">
      <text>
        <t xml:space="preserve">======
ID#AAAAEDJA_cY
    (2019-12-10 10:51:33)
Datum in vullen in het format dd-mm-jjjj</t>
      </text>
    </comment>
    <comment authorId="0" ref="E36">
      <text>
        <t xml:space="preserve">======
ID#AAAAEDJA_cQ
    (2019-12-10 10:51:33)
Hier invullen aantal dienstjaren dat men én een aanstelling had én de bevoegdheid als bedoeld in stap 2</t>
      </text>
    </comment>
    <comment authorId="0" ref="C26">
      <text>
        <t xml:space="preserve">======
ID#AAAAEDJA_cM
    (2019-12-10 10:51:33)
Hier invullen:I,II,III of geen</t>
      </text>
    </comment>
    <comment authorId="0" ref="C27">
      <text>
        <t xml:space="preserve">======
ID#AAAAEDJA_b4
    (2019-12-10 10:51:33)
Hier invullen: I,II,III of geen</t>
      </text>
    </comment>
    <comment authorId="0" ref="C21">
      <text>
        <t xml:space="preserve">======
ID#AAAAEDJA_bk
    (2019-12-10 10:51:33)
Wordt overgenomen van werkblad KM1</t>
      </text>
    </comment>
    <comment authorId="0" ref="H21">
      <text>
        <t xml:space="preserve">======
ID#AAAAEDJA_bY
    (2019-12-10 10:51:33)
Wordt overgenomen van werkblad KM1</t>
      </text>
    </comment>
    <comment authorId="0" ref="I3">
      <text>
        <t xml:space="preserve">======
ID#AAAAEDJA_ag
    (2019-12-10 10:51:33)
Datum invullen in het format dd-mm-jjjj</t>
      </text>
    </comment>
  </commentList>
  <extLst>
    <ext uri="GoogleSheetsCustomDataVersion2">
      <go:sheetsCustomData xmlns:go="http://customooxmlschemas.google.com/" r:id="rId1" roundtripDataSignature="AMtx7mhO9qPgNihK9eqM+T/Ga890RbQcCw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1">
      <text>
        <t xml:space="preserve">======
ID#AAAAEDJA_e4
    (2019-12-10 10:51:33)
Hier invullen: I,II of III  
(Gebruik de "hoofdletter i")</t>
      </text>
    </comment>
    <comment authorId="0" ref="C26">
      <text>
        <t xml:space="preserve">======
ID#AAAAEDJA_eg
    (2019-12-10 10:51:33)
Hier invullen:I,II,III of geen</t>
      </text>
    </comment>
    <comment authorId="0" ref="H36">
      <text>
        <t xml:space="preserve">======
ID#AAAAEDJA_eM
    (2019-12-10 10:51:33)
Hier invullen aantal dienstjaren dat men én een aanstelling had én de bevoegdheid als bedoeld in stap 2</t>
      </text>
    </comment>
    <comment authorId="0" ref="F32">
      <text>
        <t xml:space="preserve">======
ID#AAAAEDJA_eI
    (2019-12-10 10:51:33)
Hier datum  invullen
Format dd-mm-jjjj 
of nvt</t>
      </text>
    </comment>
    <comment authorId="0" ref="C22">
      <text>
        <t xml:space="preserve">======
ID#AAAAEDJA_d8
    (2019-12-10 10:51:33)
Hier invullen: I,II,III of nvt
(Gebruik de "hoofdletter i")</t>
      </text>
    </comment>
    <comment authorId="0" ref="I17">
      <text>
        <t xml:space="preserve">======
ID#AAAAEDJA_dw
    (2019-12-10 10:51:33)
Wordt op overgenomen van blad KM1</t>
      </text>
    </comment>
    <comment authorId="0" ref="C14">
      <text>
        <t xml:space="preserve">======
ID#AAAAEDJA_ds
hier invullen    (2019-12-10 10:51:33)
organist
 of
cantor-organist</t>
      </text>
    </comment>
    <comment authorId="0" ref="I5">
      <text>
        <t xml:space="preserve">======
ID#AAAAEDJA_dQ
    (2019-12-10 10:51:33)
Datum in vullen in het format dd-mm-jjjj</t>
      </text>
    </comment>
    <comment authorId="0" ref="H21">
      <text>
        <t xml:space="preserve">======
ID#AAAAEDJA_dM
    (2019-12-10 10:51:33)
Wordt overgenomen van werkblad KM1</t>
      </text>
    </comment>
    <comment authorId="0" ref="H22">
      <text>
        <t xml:space="preserve">======
ID#AAAAEDJA_dA
    (2019-12-10 10:51:33)
Wordt overgenomen van werkblad KM1</t>
      </text>
    </comment>
    <comment authorId="0" ref="I27">
      <text>
        <t xml:space="preserve">======
ID#AAAAEDJA_c4
    (2019-12-10 10:51:33)
Hier datum  invullen
Format dd-mm-jjjj
of nvt</t>
      </text>
    </comment>
    <comment authorId="0" ref="F54">
      <text>
        <t xml:space="preserve">======
ID#AAAAEDJA_c0
    (2019-12-10 10:51:33)
Wordt overgenomen van het werkblad Verdeling</t>
      </text>
    </comment>
    <comment authorId="0" ref="E36">
      <text>
        <t xml:space="preserve">======
ID#AAAAEDJA_cs
    (2019-12-10 10:51:33)
Hier invullen aantal dienstjaren dat men én een aanstelling had én de bevoegdheid als bedoeld in stap 2</t>
      </text>
    </comment>
    <comment authorId="0" ref="I3">
      <text>
        <t xml:space="preserve">======
ID#AAAAEDJA_bI
    (2019-12-10 10:51:33)
Datum invullen in het format dd-mm-jjjj</t>
      </text>
    </comment>
    <comment authorId="0" ref="E56">
      <text>
        <t xml:space="preserve">======
ID#AAAAEDJA_a8
    (2019-12-10 10:51:33)
Dit geldt voor een orgel met 0 t/m 3 tongwerken. Indien het orgel 4 t/m 6
tongwerken heeft, wordt het aantal e.h. met 5 verhoogd. Enz.</t>
      </text>
    </comment>
    <comment authorId="0" ref="C27">
      <text>
        <t xml:space="preserve">======
ID#AAAAEDJA_a4
    (2019-12-10 10:51:33)
Hier invullen: I,II,III of geen</t>
      </text>
    </comment>
    <comment authorId="0" ref="F57">
      <text>
        <t xml:space="preserve">======
ID#AAAAEDJA_ak
    (2019-12-10 10:51:33)
Aantal  repetities per week:</t>
      </text>
    </comment>
    <comment authorId="0" ref="I26">
      <text>
        <t xml:space="preserve">======
ID#AAAAEDJA_aY
    (2019-12-10 10:51:33)
Hier datum  invullen
Format dd-mm-jjjj
of nvt</t>
      </text>
    </comment>
  </commentList>
  <extLst>
    <ext uri="GoogleSheetsCustomDataVersion2">
      <go:sheetsCustomData xmlns:go="http://customooxmlschemas.google.com/" r:id="rId1" roundtripDataSignature="AMtx7mhpOgDrQcsXpf9ZfbFg/JyA43fezA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1">
      <text>
        <t xml:space="preserve">======
ID#AAAAEDJA_f4
    (2019-12-10 10:51:33)
Wordt overgenomen van werkblad KM1</t>
      </text>
    </comment>
    <comment authorId="0" ref="I17">
      <text>
        <t xml:space="preserve">======
ID#AAAAEDJA_fg
    (2019-12-10 10:51:33)
Wordt op overgenomen van blad KM1</t>
      </text>
    </comment>
    <comment authorId="0" ref="H36">
      <text>
        <t xml:space="preserve">======
ID#AAAAEDJA_fU
    (2019-12-10 10:51:33)
Hier invullen aantal dienstjaren dat men én een aanstelling had én de bevoegdheid als bedoeld in stap 2</t>
      </text>
    </comment>
    <comment authorId="0" ref="I27">
      <text>
        <t xml:space="preserve">======
ID#AAAAEDJA_fQ
    (2019-12-10 10:51:33)
Hier datum  invullen
Format dd-mm-jjjj
of nvt</t>
      </text>
    </comment>
    <comment authorId="0" ref="H22">
      <text>
        <t xml:space="preserve">======
ID#AAAAEDJA_fA
    (2019-12-10 10:51:33)
Wordt overgenomen van werkblad KM1</t>
      </text>
    </comment>
    <comment authorId="0" ref="E36">
      <text>
        <t xml:space="preserve">======
ID#AAAAEDJA_e0
    (2019-12-10 10:51:33)
Hier invullen aantal dienstjaren dat men én een aanstelling had én de bevoegdheid als bedoeld in stap 2</t>
      </text>
    </comment>
    <comment authorId="0" ref="I26">
      <text>
        <t xml:space="preserve">======
ID#AAAAEDJA_ek
    (2019-12-10 10:51:33)
Hier datum  invullen
Format dd-mm-jjjj
of nvt</t>
      </text>
    </comment>
    <comment authorId="0" ref="C26">
      <text>
        <t xml:space="preserve">======
ID#AAAAEDJA_dE
    (2019-12-10 10:51:33)
Hier invullen:I,II,III of geen</t>
      </text>
    </comment>
    <comment authorId="0" ref="I3">
      <text>
        <t xml:space="preserve">======
ID#AAAAEDJA_cI
    (2019-12-10 10:51:33)
Datum invullen in het format dd-mm-jjjj</t>
      </text>
    </comment>
    <comment authorId="0" ref="F54">
      <text>
        <t xml:space="preserve">======
ID#AAAAEDJA_cE
    (2019-12-10 10:51:33)
Wordt overgenomen van het werkblad Verdeling</t>
      </text>
    </comment>
    <comment authorId="0" ref="F57">
      <text>
        <t xml:space="preserve">======
ID#AAAAEDJA_cA
    (2019-12-10 10:51:33)
Aantal  repetities per week:</t>
      </text>
    </comment>
    <comment authorId="0" ref="F32">
      <text>
        <t xml:space="preserve">======
ID#AAAAEDJA_b0
    (2019-12-10 10:51:33)
Hier datum  invullen
Format dd-mm-jjjj 
of nvt</t>
      </text>
    </comment>
    <comment authorId="0" ref="C14">
      <text>
        <t xml:space="preserve">======
ID#AAAAEDJA_bo
hier invullen    (2019-12-10 10:51:33)
organist
 of
cantor-organist</t>
      </text>
    </comment>
    <comment authorId="0" ref="C21">
      <text>
        <t xml:space="preserve">======
ID#AAAAEDJA_bM
    (2019-12-10 10:51:33)
Hier invullen: I,II of III  
(Gebruik de "hoofdletter i")</t>
      </text>
    </comment>
    <comment authorId="0" ref="C22">
      <text>
        <t xml:space="preserve">======
ID#AAAAEDJA_bE
    (2019-12-10 10:51:33)
Hier invullen: I,II,III of nvt
(Gebruik de "hoofdletter i")</t>
      </text>
    </comment>
    <comment authorId="0" ref="I5">
      <text>
        <t xml:space="preserve">======
ID#AAAAEDJA_bA
    (2019-12-10 10:51:33)
Datum in vullen in het format dd-mm-jjjj</t>
      </text>
    </comment>
    <comment authorId="0" ref="E56">
      <text>
        <t xml:space="preserve">======
ID#AAAAEDJA_ao
    (2019-12-10 10:51:33)
Dit geldt voor een orgel met 0 t/m 3 tongwerken. Indien het orgel 4 t/m 6
tongwerken heeft, wordt het aantal e.h. met 5 verhoogd. Enz.</t>
      </text>
    </comment>
    <comment authorId="0" ref="C27">
      <text>
        <t xml:space="preserve">======
ID#AAAAEDJA_aM
    (2019-12-10 10:51:33)
Hier invullen: I,II,III of geen</t>
      </text>
    </comment>
  </commentList>
  <extLst>
    <ext uri="GoogleSheetsCustomDataVersion2">
      <go:sheetsCustomData xmlns:go="http://customooxmlschemas.google.com/" r:id="rId1" roundtripDataSignature="AMtx7mjrzi56NSBbj+a/WF7SGIoY3qYlJA=="/>
    </ext>
  </extL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5">
      <text>
        <t xml:space="preserve">======
ID#AAAAEDJA_gI
    (2019-12-10 10:51:33)
Datum in vullen in het format dd-mm-jjjj</t>
      </text>
    </comment>
    <comment authorId="0" ref="F27">
      <text>
        <t xml:space="preserve">======
ID#AAAAEDJA_f8
    (2019-12-10 10:51:33)
Hier datum  invullen
Format dd-mm-jjjj
of nvt</t>
      </text>
    </comment>
    <comment authorId="0" ref="F52">
      <text>
        <t xml:space="preserve">======
ID#AAAAEDJA_f0
    (2019-12-10 10:51:33)
Aantal  repetities per week:</t>
      </text>
    </comment>
    <comment authorId="0" ref="C27">
      <text>
        <t xml:space="preserve">======
ID#AAAAEDJA_fE
    (2019-12-10 10:51:33)
Hier invullen: I,II,III of geen</t>
      </text>
    </comment>
    <comment authorId="0" ref="E53">
      <text>
        <t xml:space="preserve">======
ID#AAAAEDJA_ec
jrunherd    (2019-12-10 10:51:33)
minstens 5 e.h. per week per kerkgebouw mogelijk, als organist deze taak al heeft, dan niet</t>
      </text>
    </comment>
    <comment authorId="0" ref="F32">
      <text>
        <t xml:space="preserve">======
ID#AAAAEDJA_eE
    (2019-12-10 10:51:33)
Hier datum  invullen
Format dd-mm-jjjj 
of nvt</t>
      </text>
    </comment>
    <comment authorId="0" ref="I3">
      <text>
        <t xml:space="preserve">======
ID#AAAAEDJA_dU
    (2019-12-10 10:51:33)
Datum invullen in het format dd-mm-jjjj</t>
      </text>
    </comment>
    <comment authorId="0" ref="H22">
      <text>
        <t xml:space="preserve">======
ID#AAAAEDJA_cU
    (2019-12-10 10:51:33)
Wordt overgenomen van werkblad KM1</t>
      </text>
    </comment>
    <comment authorId="0" ref="E36">
      <text>
        <t xml:space="preserve">======
ID#AAAAEDJA_bw
    (2019-12-10 10:51:33)
Hier invullen aantal dienstjaren dat men én een aanstelling had én de bevoegdheid als bedoeld in stap 2</t>
      </text>
    </comment>
    <comment authorId="0" ref="C22">
      <text>
        <t xml:space="preserve">======
ID#AAAAEDJA_aU
    (2019-12-10 10:51:33)
Wordt overgenomen van werkblad KM1</t>
      </text>
    </comment>
  </commentList>
  <extLst>
    <ext uri="GoogleSheetsCustomDataVersion2">
      <go:sheetsCustomData xmlns:go="http://customooxmlschemas.google.com/" r:id="rId1" roundtripDataSignature="AMtx7mjc6kam69WA851Kxe2Y6j44EYXK1g=="/>
    </ext>
  </extLst>
</comments>
</file>

<file path=xl/sharedStrings.xml><?xml version="1.0" encoding="utf-8"?>
<sst xmlns="http://schemas.openxmlformats.org/spreadsheetml/2006/main" count="719" uniqueCount="273">
  <si>
    <t>Omvang taak</t>
  </si>
  <si>
    <t>Stap 1</t>
  </si>
  <si>
    <t>Bepaling totale aantal diensten per jaar :</t>
  </si>
  <si>
    <t>voor de</t>
  </si>
  <si>
    <t>Aantal diensten per jaar:</t>
  </si>
  <si>
    <t>aantal dst</t>
  </si>
  <si>
    <t>zondagen:</t>
  </si>
  <si>
    <t>diensten per zondag:</t>
  </si>
  <si>
    <t>Totaal:</t>
  </si>
  <si>
    <t>correctie aantal diensten  + / -</t>
  </si>
  <si>
    <t>Aantal diensten op zondag</t>
  </si>
  <si>
    <t>bijzondere diensten behorende tot de functie:</t>
  </si>
  <si>
    <t>kerstnachtdient</t>
  </si>
  <si>
    <t>1e kerstdag</t>
  </si>
  <si>
    <t>2e kerstdag</t>
  </si>
  <si>
    <t>biddag</t>
  </si>
  <si>
    <t>witte donderdag</t>
  </si>
  <si>
    <t xml:space="preserve">goede vrijdag </t>
  </si>
  <si>
    <t>stille zaterdag</t>
  </si>
  <si>
    <t>2e paasdag</t>
  </si>
  <si>
    <t xml:space="preserve">Totaal aantal diensten per jaar </t>
  </si>
  <si>
    <t>hemelvaartsdag</t>
  </si>
  <si>
    <t xml:space="preserve">Vakantiediensten' per jaar: 7 x </t>
  </si>
  <si>
    <t>2e pinksterdag</t>
  </si>
  <si>
    <t>dankdag</t>
  </si>
  <si>
    <t>oudjaarsdag</t>
  </si>
  <si>
    <t>nieuwjaarsdag</t>
  </si>
  <si>
    <t>1e paasdag extra dienst</t>
  </si>
  <si>
    <t>kinderkerstfeest</t>
  </si>
  <si>
    <t>…………..</t>
  </si>
  <si>
    <t>Totaal</t>
  </si>
  <si>
    <t xml:space="preserve">diensten  </t>
  </si>
  <si>
    <t>Stap 2</t>
  </si>
  <si>
    <t>Verdeling diensten over de kerkmusici</t>
  </si>
  <si>
    <t>gedeelte</t>
  </si>
  <si>
    <t>Kerkmusicus 1:</t>
  </si>
  <si>
    <t>speelt hiervan</t>
  </si>
  <si>
    <t>diensten</t>
  </si>
  <si>
    <t>Kerkmusicus 2:</t>
  </si>
  <si>
    <t>Kerkmusicus 3:</t>
  </si>
  <si>
    <t>Kerkmusicus 4:</t>
  </si>
  <si>
    <t>Kerkmusicus 5:</t>
  </si>
  <si>
    <t>Door invallers worden</t>
  </si>
  <si>
    <t>diensten gespeeld</t>
  </si>
  <si>
    <t>Gegevens kerkmusicus 1</t>
  </si>
  <si>
    <t>berekening uitgevoerd op:</t>
  </si>
  <si>
    <t>Algemeen</t>
  </si>
  <si>
    <t>Naam:</t>
  </si>
  <si>
    <t>H.A.Licht</t>
  </si>
  <si>
    <t>geboren op:</t>
  </si>
  <si>
    <t>Burgerservicenummer:</t>
  </si>
  <si>
    <t>leeftijd datum berekening:</t>
  </si>
  <si>
    <t>Straat en huisnr.</t>
  </si>
  <si>
    <t>Muziekstraat 77</t>
  </si>
  <si>
    <t>Postcode en plaats</t>
  </si>
  <si>
    <t>1234 ZA Voorbeeld</t>
  </si>
  <si>
    <t>Tel.:</t>
  </si>
  <si>
    <t>0987 654321</t>
  </si>
  <si>
    <t>e-mail:</t>
  </si>
  <si>
    <t>licht@voorbeeld.nl</t>
  </si>
  <si>
    <t xml:space="preserve">Aangesteld als </t>
  </si>
  <si>
    <t>cantor-organist</t>
  </si>
  <si>
    <t xml:space="preserve"> in de kerkelijke gemeente</t>
  </si>
  <si>
    <t>Voorbeeld</t>
  </si>
  <si>
    <t xml:space="preserve"> voor de</t>
  </si>
  <si>
    <t>Grote Kerk</t>
  </si>
  <si>
    <t>De functie in de</t>
  </si>
  <si>
    <t>wordt vervuld door</t>
  </si>
  <si>
    <t>persoon / personen</t>
  </si>
  <si>
    <t>Functieniveau</t>
  </si>
  <si>
    <t>Het functieniveau, vastgesteld door de kerkenraad in overleg met het PDC is:</t>
  </si>
  <si>
    <t>orgel:</t>
  </si>
  <si>
    <t>iii</t>
  </si>
  <si>
    <t>vastgesteld op:</t>
  </si>
  <si>
    <t>cantoraat:</t>
  </si>
  <si>
    <t>I</t>
  </si>
  <si>
    <t>Bevoegdheid van de kerkmusicus</t>
  </si>
  <si>
    <t>De bevoegdheid van de kerkmusicus is:</t>
  </si>
  <si>
    <t>II</t>
  </si>
  <si>
    <t>uitgereikt door:</t>
  </si>
  <si>
    <t>Bureau kerkmuziek</t>
  </si>
  <si>
    <t>Stap 3</t>
  </si>
  <si>
    <t>Dienstjaren</t>
  </si>
  <si>
    <t/>
  </si>
  <si>
    <t xml:space="preserve">De kerkenraad van </t>
  </si>
  <si>
    <t>heeft de kerkmusicus benoemd op:</t>
  </si>
  <si>
    <t>orgel-taken</t>
  </si>
  <si>
    <t>cantor-taken</t>
  </si>
  <si>
    <t>Dienstjaren uit vorige betrekkingen :</t>
  </si>
  <si>
    <t>Dienstjaren uit huidige betrekking op datum van berekening:</t>
  </si>
  <si>
    <t>Totaal dienstjaren:</t>
  </si>
  <si>
    <t>Voor salarisberekening:</t>
  </si>
  <si>
    <r>
      <rPr>
        <rFont val="Arial"/>
        <color theme="1"/>
        <sz val="10.0"/>
      </rPr>
      <t xml:space="preserve">Op grond van bevoegdheid en functieniveau geldt </t>
    </r>
    <r>
      <rPr>
        <rFont val="Arial"/>
        <b/>
        <color theme="1"/>
        <sz val="10.0"/>
      </rPr>
      <t>schaal:</t>
    </r>
  </si>
  <si>
    <t xml:space="preserve">  dienstjaren:</t>
  </si>
  <si>
    <t xml:space="preserve">          voor salarisberekening:</t>
  </si>
  <si>
    <t>Het bedrag per eenheid is:</t>
  </si>
  <si>
    <t>Het bedrag per uur is:</t>
  </si>
  <si>
    <t>Stap 4</t>
  </si>
  <si>
    <t>Analyse taak</t>
  </si>
  <si>
    <t>Taken als:</t>
  </si>
  <si>
    <t>e.h.</t>
  </si>
  <si>
    <t>Invullen</t>
  </si>
  <si>
    <t>totaal eh per wk</t>
  </si>
  <si>
    <t>Uren per wk</t>
  </si>
  <si>
    <t>Diensten per jaar invullen op "Verdeling"</t>
  </si>
  <si>
    <t>orgel</t>
  </si>
  <si>
    <t>cantor</t>
  </si>
  <si>
    <r>
      <rPr>
        <rFont val="Arial"/>
        <color theme="1"/>
        <sz val="10.0"/>
      </rPr>
      <t xml:space="preserve">Totaal aantal diensten per </t>
    </r>
    <r>
      <rPr>
        <rFont val="Arial"/>
        <b/>
        <color theme="1"/>
        <sz val="10.0"/>
      </rPr>
      <t>jaar (</t>
    </r>
    <r>
      <rPr>
        <rFont val="Arial"/>
        <color theme="1"/>
        <sz val="10.0"/>
      </rPr>
      <t>incl.vakantiezondagen)</t>
    </r>
  </si>
  <si>
    <t xml:space="preserve">waarvan verzorgd door: </t>
  </si>
  <si>
    <r>
      <rPr>
        <rFont val="Arial"/>
        <color theme="1"/>
        <sz val="10.0"/>
      </rPr>
      <t xml:space="preserve">vorming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</si>
  <si>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 xml:space="preserve">klein onderhoud </t>
    </r>
    <r>
      <rPr>
        <rFont val="Arial"/>
        <b/>
        <color theme="1"/>
        <sz val="10.0"/>
      </rPr>
      <t>(e.h. zijn per week)</t>
    </r>
  </si>
  <si>
    <t>5*</t>
  </si>
  <si>
    <r>
      <rPr>
        <rFont val="Arial"/>
        <color theme="1"/>
        <sz val="10.0"/>
      </rPr>
      <t>cantorij / koor</t>
    </r>
    <r>
      <rPr>
        <rFont val="Arial"/>
        <b/>
        <color theme="1"/>
        <sz val="10.0"/>
      </rPr>
      <t xml:space="preserve"> (repetities per week)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</si>
  <si>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10.0"/>
      </rPr>
      <t>concerten (</t>
    </r>
    <r>
      <rPr>
        <rFont val="Arial"/>
        <b/>
        <color theme="1"/>
        <sz val="10.0"/>
      </rPr>
      <t>aantal per jaar als organist)</t>
    </r>
  </si>
  <si>
    <r>
      <rPr>
        <rFont val="Arial"/>
        <color theme="1"/>
        <sz val="10.0"/>
      </rPr>
      <t xml:space="preserve">rouw/trouwdiensten </t>
    </r>
    <r>
      <rPr>
        <rFont val="Arial"/>
        <b/>
        <color theme="1"/>
        <sz val="10.0"/>
      </rPr>
      <t>(aantal per jaar)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</si>
  <si>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week</t>
    </r>
    <r>
      <rPr>
        <rFont val="Arial"/>
        <color theme="1"/>
        <sz val="10.0"/>
      </rPr>
      <t>):</t>
    </r>
  </si>
  <si>
    <t>………………………………………….</t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</si>
  <si>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jaar)</t>
    </r>
    <r>
      <rPr>
        <rFont val="Arial"/>
        <color theme="1"/>
        <sz val="10.0"/>
      </rPr>
      <t>:</t>
    </r>
  </si>
  <si>
    <t>Totaal aantal eenheden en uren per schaal/functie</t>
  </si>
  <si>
    <t>Orgel</t>
  </si>
  <si>
    <t>Cantor</t>
  </si>
  <si>
    <t>Diversen</t>
  </si>
  <si>
    <r>
      <rPr>
        <rFont val="Arial"/>
        <color theme="1"/>
        <sz val="10.0"/>
      </rPr>
      <t xml:space="preserve">Tijd per schaal/functie </t>
    </r>
    <r>
      <rPr>
        <rFont val="Arial"/>
        <b/>
        <color theme="1"/>
        <sz val="10.0"/>
      </rPr>
      <t>in uren per week</t>
    </r>
  </si>
  <si>
    <t>Totaal aantal uren per week</t>
  </si>
  <si>
    <t>Stap 5</t>
  </si>
  <si>
    <t>Berekening salaris</t>
  </si>
  <si>
    <t>Voor de kerkmusicus</t>
  </si>
  <si>
    <t>geldt op grond van bovenstaande gegevens</t>
  </si>
  <si>
    <t>deel orgel:</t>
  </si>
  <si>
    <t>X</t>
  </si>
  <si>
    <t>=</t>
  </si>
  <si>
    <t>deel cantoraat:</t>
  </si>
  <si>
    <t>speciale taken</t>
  </si>
  <si>
    <t>Totaal per week:</t>
  </si>
  <si>
    <t>Maandsalaris</t>
  </si>
  <si>
    <t>Jaarsalaris</t>
  </si>
  <si>
    <t>Partime factor</t>
  </si>
  <si>
    <t>Gegevens kerkmusicus 2</t>
  </si>
  <si>
    <t>organist</t>
  </si>
  <si>
    <t>geen</t>
  </si>
  <si>
    <t>nvt</t>
  </si>
  <si>
    <r>
      <rPr>
        <rFont val="Arial"/>
        <color theme="1"/>
        <sz val="10.0"/>
      </rPr>
      <t xml:space="preserve">Op grond van bevoegdheid en functieniveau geldt </t>
    </r>
    <r>
      <rPr>
        <rFont val="Arial"/>
        <b/>
        <color theme="1"/>
        <sz val="10.0"/>
      </rPr>
      <t>schaal:</t>
    </r>
  </si>
  <si>
    <r>
      <rPr>
        <rFont val="Arial"/>
        <color theme="1"/>
        <sz val="10.0"/>
      </rPr>
      <t xml:space="preserve">Totaal aantal diensten per </t>
    </r>
    <r>
      <rPr>
        <rFont val="Arial"/>
        <b/>
        <color theme="1"/>
        <sz val="10.0"/>
      </rPr>
      <t>jaar (</t>
    </r>
    <r>
      <rPr>
        <rFont val="Arial"/>
        <color theme="1"/>
        <sz val="10.0"/>
      </rPr>
      <t>incl.vakantiezondagen)</t>
    </r>
  </si>
  <si>
    <r>
      <rPr>
        <rFont val="Arial"/>
        <color theme="1"/>
        <sz val="10.0"/>
      </rPr>
      <t xml:space="preserve">vorming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</si>
  <si>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 xml:space="preserve">klein onderhoud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</si>
  <si>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>cantorij / koor</t>
    </r>
    <r>
      <rPr>
        <rFont val="Arial"/>
        <b/>
        <color theme="1"/>
        <sz val="10.0"/>
      </rPr>
      <t xml:space="preserve"> (repetities per week)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</si>
  <si>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10.0"/>
      </rPr>
      <t>concerten (</t>
    </r>
    <r>
      <rPr>
        <rFont val="Arial"/>
        <b/>
        <color theme="1"/>
        <sz val="10.0"/>
      </rPr>
      <t>aantal per jaar als organist)</t>
    </r>
  </si>
  <si>
    <r>
      <rPr>
        <rFont val="Arial"/>
        <color theme="1"/>
        <sz val="10.0"/>
      </rPr>
      <t xml:space="preserve">rouw/trouwdiensten </t>
    </r>
    <r>
      <rPr>
        <rFont val="Arial"/>
        <b/>
        <color theme="1"/>
        <sz val="10.0"/>
      </rPr>
      <t>(aantal per jaar)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</si>
  <si>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week</t>
    </r>
    <r>
      <rPr>
        <rFont val="Arial"/>
        <color theme="1"/>
        <sz val="10.0"/>
      </rPr>
      <t>):</t>
    </r>
  </si>
  <si>
    <t>…………………………………………</t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</si>
  <si>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jaar)</t>
    </r>
    <r>
      <rPr>
        <rFont val="Arial"/>
        <color theme="1"/>
        <sz val="10.0"/>
      </rPr>
      <t>:</t>
    </r>
  </si>
  <si>
    <t>………………………………………..</t>
  </si>
  <si>
    <t>……………………………………….</t>
  </si>
  <si>
    <r>
      <rPr>
        <rFont val="Arial"/>
        <color theme="1"/>
        <sz val="10.0"/>
      </rPr>
      <t xml:space="preserve">Tijd per schaal/functie </t>
    </r>
    <r>
      <rPr>
        <rFont val="Arial"/>
        <b/>
        <color theme="1"/>
        <sz val="10.0"/>
      </rPr>
      <t>in uren per week</t>
    </r>
  </si>
  <si>
    <t>Gegevens kerkmusicus 3</t>
  </si>
  <si>
    <r>
      <rPr>
        <rFont val="Arial"/>
        <color theme="1"/>
        <sz val="10.0"/>
      </rPr>
      <t xml:space="preserve">Op grond van bevoegdheid en functieniveau geldt </t>
    </r>
    <r>
      <rPr>
        <rFont val="Arial"/>
        <b/>
        <color theme="1"/>
        <sz val="10.0"/>
      </rPr>
      <t>schaal:</t>
    </r>
  </si>
  <si>
    <r>
      <rPr>
        <rFont val="Arial"/>
        <color theme="1"/>
        <sz val="10.0"/>
      </rPr>
      <t xml:space="preserve">Totaal aantal diensten per </t>
    </r>
    <r>
      <rPr>
        <rFont val="Arial"/>
        <b/>
        <color theme="1"/>
        <sz val="10.0"/>
      </rPr>
      <t>jaar (</t>
    </r>
    <r>
      <rPr>
        <rFont val="Arial"/>
        <color theme="1"/>
        <sz val="10.0"/>
      </rPr>
      <t>incl.vakantiezondagen)</t>
    </r>
  </si>
  <si>
    <r>
      <rPr>
        <rFont val="Arial"/>
        <color theme="1"/>
        <sz val="10.0"/>
      </rPr>
      <t xml:space="preserve">vorming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</si>
  <si>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 xml:space="preserve">klein onderhoud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</si>
  <si>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>cantorij / koor</t>
    </r>
    <r>
      <rPr>
        <rFont val="Arial"/>
        <b/>
        <color theme="1"/>
        <sz val="10.0"/>
      </rPr>
      <t xml:space="preserve"> (repetities per week)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</si>
  <si>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10.0"/>
      </rPr>
      <t>concerten (</t>
    </r>
    <r>
      <rPr>
        <rFont val="Arial"/>
        <b/>
        <color theme="1"/>
        <sz val="10.0"/>
      </rPr>
      <t>aantal per jaar als organist)</t>
    </r>
  </si>
  <si>
    <r>
      <rPr>
        <rFont val="Arial"/>
        <color theme="1"/>
        <sz val="10.0"/>
      </rPr>
      <t xml:space="preserve">rouw/trouwdiensten </t>
    </r>
    <r>
      <rPr>
        <rFont val="Arial"/>
        <b/>
        <color theme="1"/>
        <sz val="10.0"/>
      </rPr>
      <t>(aantal per jaar)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</si>
  <si>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week</t>
    </r>
    <r>
      <rPr>
        <rFont val="Arial"/>
        <color theme="1"/>
        <sz val="10.0"/>
      </rPr>
      <t>):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</si>
  <si>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jaar)</t>
    </r>
    <r>
      <rPr>
        <rFont val="Arial"/>
        <color theme="1"/>
        <sz val="10.0"/>
      </rPr>
      <t>:</t>
    </r>
  </si>
  <si>
    <r>
      <rPr>
        <rFont val="Arial"/>
        <color theme="1"/>
        <sz val="10.0"/>
      </rPr>
      <t xml:space="preserve">Tijd per schaal/functie </t>
    </r>
    <r>
      <rPr>
        <rFont val="Arial"/>
        <b/>
        <color theme="1"/>
        <sz val="10.0"/>
      </rPr>
      <t>in uren per week</t>
    </r>
  </si>
  <si>
    <t>Gegevens kerkmusicus 4</t>
  </si>
  <si>
    <r>
      <rPr>
        <rFont val="Arial"/>
        <color theme="1"/>
        <sz val="10.0"/>
      </rPr>
      <t xml:space="preserve">Op grond van bevoegdheid en functieniveau geldt </t>
    </r>
    <r>
      <rPr>
        <rFont val="Arial"/>
        <b/>
        <color theme="1"/>
        <sz val="10.0"/>
      </rPr>
      <t>schaal:</t>
    </r>
  </si>
  <si>
    <r>
      <rPr>
        <rFont val="Arial"/>
        <color theme="1"/>
        <sz val="10.0"/>
      </rPr>
      <t xml:space="preserve">Totaal aantal diensten per </t>
    </r>
    <r>
      <rPr>
        <rFont val="Arial"/>
        <b/>
        <color theme="1"/>
        <sz val="10.0"/>
      </rPr>
      <t>jaar (</t>
    </r>
    <r>
      <rPr>
        <rFont val="Arial"/>
        <color theme="1"/>
        <sz val="10.0"/>
      </rPr>
      <t>incl.vakantiezondagen)</t>
    </r>
  </si>
  <si>
    <r>
      <rPr>
        <rFont val="Arial"/>
        <color theme="1"/>
        <sz val="10.0"/>
      </rPr>
      <t xml:space="preserve">vorming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</si>
  <si>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 xml:space="preserve">klein onderhoud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</si>
  <si>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>cantorij / koor</t>
    </r>
    <r>
      <rPr>
        <rFont val="Arial"/>
        <b/>
        <color theme="1"/>
        <sz val="10.0"/>
      </rPr>
      <t xml:space="preserve"> (repetities per week)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</si>
  <si>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10.0"/>
      </rPr>
      <t>concerten (</t>
    </r>
    <r>
      <rPr>
        <rFont val="Arial"/>
        <b/>
        <color theme="1"/>
        <sz val="10.0"/>
      </rPr>
      <t>aantal per jaar als organist)</t>
    </r>
  </si>
  <si>
    <r>
      <rPr>
        <rFont val="Arial"/>
        <color theme="1"/>
        <sz val="10.0"/>
      </rPr>
      <t xml:space="preserve">rouw/trouwdiensten </t>
    </r>
    <r>
      <rPr>
        <rFont val="Arial"/>
        <b/>
        <color theme="1"/>
        <sz val="10.0"/>
      </rPr>
      <t>(aantal per jaar)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</si>
  <si>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week</t>
    </r>
    <r>
      <rPr>
        <rFont val="Arial"/>
        <color theme="1"/>
        <sz val="10.0"/>
      </rPr>
      <t>):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</si>
  <si>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jaar)</t>
    </r>
    <r>
      <rPr>
        <rFont val="Arial"/>
        <color theme="1"/>
        <sz val="10.0"/>
      </rPr>
      <t>:</t>
    </r>
  </si>
  <si>
    <r>
      <rPr>
        <rFont val="Arial"/>
        <color theme="1"/>
        <sz val="10.0"/>
      </rPr>
      <t xml:space="preserve">Tijd per schaal/functie </t>
    </r>
    <r>
      <rPr>
        <rFont val="Arial"/>
        <b/>
        <color theme="1"/>
        <sz val="10.0"/>
      </rPr>
      <t>in uren per week</t>
    </r>
  </si>
  <si>
    <t>Gegevens kerkmusicus 5</t>
  </si>
  <si>
    <t>CvdKerkmuziek</t>
  </si>
  <si>
    <r>
      <rPr>
        <rFont val="Arial"/>
        <color theme="1"/>
        <sz val="10.0"/>
      </rPr>
      <t xml:space="preserve">Op grond van bevoegdheid en functieniveau geldt </t>
    </r>
    <r>
      <rPr>
        <rFont val="Arial"/>
        <b/>
        <color theme="1"/>
        <sz val="10.0"/>
      </rPr>
      <t>schaal:</t>
    </r>
  </si>
  <si>
    <r>
      <rPr>
        <rFont val="Arial"/>
        <color theme="1"/>
        <sz val="10.0"/>
      </rPr>
      <t xml:space="preserve">Totaal aantal diensten per </t>
    </r>
    <r>
      <rPr>
        <rFont val="Arial"/>
        <b/>
        <color theme="1"/>
        <sz val="10.0"/>
      </rPr>
      <t>jaar (</t>
    </r>
    <r>
      <rPr>
        <rFont val="Arial"/>
        <color theme="1"/>
        <sz val="10.0"/>
      </rPr>
      <t>incl.vakantiezondagen)</t>
    </r>
  </si>
  <si>
    <r>
      <rPr>
        <rFont val="Arial"/>
        <color theme="1"/>
        <sz val="10.0"/>
      </rPr>
      <t xml:space="preserve">vorming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</si>
  <si>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 xml:space="preserve">klein onderhoud </t>
    </r>
    <r>
      <rPr>
        <rFont val="Arial"/>
        <b/>
        <color theme="1"/>
        <sz val="10.0"/>
      </rPr>
      <t>(e.h. zijn per week)</t>
    </r>
  </si>
  <si>
    <r>
      <rPr>
        <rFont val="Arial"/>
        <color theme="1"/>
        <sz val="10.0"/>
      </rPr>
      <t>cantorij / koor</t>
    </r>
    <r>
      <rPr>
        <rFont val="Arial"/>
        <b/>
        <color theme="1"/>
        <sz val="10.0"/>
      </rPr>
      <t xml:space="preserve"> (repetities per week)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</si>
  <si>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10.0"/>
      </rPr>
      <t>concerten (</t>
    </r>
    <r>
      <rPr>
        <rFont val="Arial"/>
        <b/>
        <color theme="1"/>
        <sz val="10.0"/>
      </rPr>
      <t>aantal per jaar als organist)</t>
    </r>
  </si>
  <si>
    <r>
      <rPr>
        <rFont val="Arial"/>
        <color theme="1"/>
        <sz val="10.0"/>
      </rPr>
      <t xml:space="preserve">rouw/trouwdiensten </t>
    </r>
    <r>
      <rPr>
        <rFont val="Arial"/>
        <b/>
        <color theme="1"/>
        <sz val="10.0"/>
      </rPr>
      <t>(aantal per jaar)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</si>
  <si>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week</t>
    </r>
    <r>
      <rPr>
        <rFont val="Arial"/>
        <color theme="1"/>
        <sz val="10.0"/>
      </rPr>
      <t>):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</si>
  <si>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jaar)</t>
    </r>
    <r>
      <rPr>
        <rFont val="Arial"/>
        <color theme="1"/>
        <sz val="10.0"/>
      </rPr>
      <t>:</t>
    </r>
  </si>
  <si>
    <r>
      <rPr>
        <rFont val="Arial"/>
        <color theme="1"/>
        <sz val="10.0"/>
      </rPr>
      <t xml:space="preserve">Tijd per schaal/functie </t>
    </r>
    <r>
      <rPr>
        <rFont val="Arial"/>
        <b/>
        <color theme="1"/>
        <sz val="10.0"/>
      </rPr>
      <t>in uren per week</t>
    </r>
  </si>
  <si>
    <t>Gegevens Cantor</t>
  </si>
  <si>
    <t>Hr Dirigent</t>
  </si>
  <si>
    <t>CvdK</t>
  </si>
  <si>
    <r>
      <rPr>
        <rFont val="Arial"/>
        <color theme="1"/>
        <sz val="10.0"/>
      </rPr>
      <t xml:space="preserve">Op grond van bevoegdheid en functieniveau geldt </t>
    </r>
    <r>
      <rPr>
        <rFont val="Arial"/>
        <b/>
        <color theme="1"/>
        <sz val="10.0"/>
      </rPr>
      <t>schaal:</t>
    </r>
  </si>
  <si>
    <t>tot. eh per wk</t>
  </si>
  <si>
    <t>tot.uren per wk</t>
  </si>
  <si>
    <r>
      <rPr>
        <rFont val="Arial"/>
        <color theme="1"/>
        <sz val="10.0"/>
      </rPr>
      <t xml:space="preserve">diensten </t>
    </r>
    <r>
      <rPr>
        <rFont val="Arial"/>
        <b/>
        <color theme="1"/>
        <sz val="10.0"/>
      </rPr>
      <t>(aantal per jaar)</t>
    </r>
    <r>
      <rPr>
        <rFont val="Arial"/>
        <color theme="1"/>
        <sz val="10.0"/>
      </rPr>
      <t xml:space="preserve"> </t>
    </r>
  </si>
  <si>
    <r>
      <rPr>
        <rFont val="Arial"/>
        <color theme="1"/>
        <sz val="10.0"/>
      </rPr>
      <t>rouw / trouwdiensten</t>
    </r>
    <r>
      <rPr>
        <rFont val="Arial"/>
        <b/>
        <color theme="1"/>
        <sz val="10.0"/>
      </rPr>
      <t>(aantal per jaar)</t>
    </r>
  </si>
  <si>
    <r>
      <rPr>
        <rFont val="Arial"/>
        <color theme="1"/>
        <sz val="10.0"/>
      </rPr>
      <t xml:space="preserve">cantorij / koor </t>
    </r>
    <r>
      <rPr>
        <rFont val="Arial"/>
        <b/>
        <color theme="1"/>
        <sz val="10.0"/>
      </rPr>
      <t>(repetities per week)</t>
    </r>
  </si>
  <si>
    <r>
      <rPr>
        <rFont val="Arial"/>
        <color theme="1"/>
        <sz val="10.0"/>
      </rPr>
      <t xml:space="preserve">vorming </t>
    </r>
    <r>
      <rPr>
        <rFont val="Arial"/>
        <b/>
        <color theme="1"/>
        <sz val="10.0"/>
      </rPr>
      <t>(in eh per week)</t>
    </r>
  </si>
  <si>
    <r>
      <rPr>
        <rFont val="Arial"/>
        <color theme="1"/>
        <sz val="10.0"/>
      </rPr>
      <t xml:space="preserve">andere taken nl: </t>
    </r>
    <r>
      <rPr>
        <rFont val="Arial"/>
        <b/>
        <color theme="1"/>
        <sz val="10.0"/>
      </rPr>
      <t>(in uren per week</t>
    </r>
    <r>
      <rPr>
        <rFont val="Arial"/>
        <color theme="1"/>
        <sz val="10.0"/>
      </rPr>
      <t>):</t>
    </r>
  </si>
  <si>
    <t>…………………………………….</t>
  </si>
  <si>
    <t>stemvorming</t>
  </si>
  <si>
    <r>
      <rPr>
        <rFont val="Arial"/>
        <color theme="1"/>
        <sz val="10.0"/>
      </rPr>
      <t>andere taken:</t>
    </r>
    <r>
      <rPr>
        <rFont val="Arial"/>
        <b/>
        <color theme="1"/>
        <sz val="10.0"/>
      </rPr>
      <t>(in uren per jaar)</t>
    </r>
    <r>
      <rPr>
        <rFont val="Arial"/>
        <color theme="1"/>
        <sz val="10.0"/>
      </rPr>
      <t xml:space="preserve"> </t>
    </r>
  </si>
  <si>
    <t>……………………………………</t>
  </si>
  <si>
    <t>overleg</t>
  </si>
  <si>
    <t>……………………………………………………………………….</t>
  </si>
  <si>
    <t>…………………………………..</t>
  </si>
  <si>
    <r>
      <rPr>
        <rFont val="Arial"/>
        <color theme="1"/>
        <sz val="10.0"/>
      </rPr>
      <t xml:space="preserve">Tijd per schaal/functie </t>
    </r>
    <r>
      <rPr>
        <rFont val="Arial"/>
        <b/>
        <color theme="1"/>
        <sz val="10.0"/>
      </rPr>
      <t>in uren per week</t>
    </r>
  </si>
  <si>
    <t>deel basis eenheden</t>
  </si>
  <si>
    <t xml:space="preserve">Bijlage 2                            Basis bepaling hoogte salaris         </t>
  </si>
  <si>
    <t>(salarisschalen per 1 januari 2024)</t>
  </si>
  <si>
    <t>A</t>
  </si>
  <si>
    <t>B</t>
  </si>
  <si>
    <t>C</t>
  </si>
  <si>
    <t>D</t>
  </si>
  <si>
    <t>E</t>
  </si>
  <si>
    <t>F</t>
  </si>
  <si>
    <t>dienstjaren</t>
  </si>
  <si>
    <t>bedrag bij</t>
  </si>
  <si>
    <t>idem als C</t>
  </si>
  <si>
    <t>bedrag van</t>
  </si>
  <si>
    <t>volledige</t>
  </si>
  <si>
    <t>standaard</t>
  </si>
  <si>
    <t>per week</t>
  </si>
  <si>
    <t>één eenh.</t>
  </si>
  <si>
    <t>werkweek (36 uur)</t>
  </si>
  <si>
    <t>functie</t>
  </si>
  <si>
    <t>Functie I</t>
  </si>
  <si>
    <t>Schaalbedr</t>
  </si>
  <si>
    <t>100 eh/md</t>
  </si>
  <si>
    <t>100 eh/wk</t>
  </si>
  <si>
    <t>1 eh</t>
  </si>
  <si>
    <t>I.0</t>
  </si>
  <si>
    <t>I.1</t>
  </si>
  <si>
    <t>I.2</t>
  </si>
  <si>
    <t>I.3</t>
  </si>
  <si>
    <t>I.4</t>
  </si>
  <si>
    <t>Losse dienst</t>
  </si>
  <si>
    <t>I.5</t>
  </si>
  <si>
    <t>I.6</t>
  </si>
  <si>
    <t>I.7</t>
  </si>
  <si>
    <t>Trouw/rouw</t>
  </si>
  <si>
    <t>I.8</t>
  </si>
  <si>
    <t>I.9</t>
  </si>
  <si>
    <t>I.10</t>
  </si>
  <si>
    <t>Functie II</t>
  </si>
  <si>
    <t>II.0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</si>
  <si>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</si>
  <si>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</si>
  <si>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</si>
  <si>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</si>
  <si>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</si>
  <si>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</si>
  <si>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</si>
  <si>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</si>
  <si>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</si>
  <si>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</si>
  <si>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Functie III</t>
  </si>
  <si>
    <t>III.0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</si>
  <si>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</si>
  <si>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</si>
  <si>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</si>
  <si>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</si>
  <si>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</si>
  <si>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</si>
  <si>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</si>
  <si>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</si>
  <si>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</si>
  <si>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</si>
  <si>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nvt.0</t>
  </si>
  <si>
    <t>Sal.tabel</t>
  </si>
  <si>
    <t>Voor een 'losse'dienst (vervanging, rouw/trouwdienst):</t>
  </si>
  <si>
    <r>
      <rPr>
        <rFont val="Arial"/>
        <color theme="1"/>
        <sz val="10.0"/>
      </rPr>
      <t xml:space="preserve">het genoemde bedrag is het </t>
    </r>
    <r>
      <rPr>
        <rFont val="Arial"/>
        <b/>
        <i/>
        <color theme="1"/>
        <sz val="10.0"/>
      </rPr>
      <t>bruto</t>
    </r>
    <r>
      <rPr>
        <rFont val="Arial"/>
        <color rgb="FF000000"/>
        <sz val="10.0"/>
      </rPr>
      <t xml:space="preserve"> bedrag, dus de inhoudingen moeten worden bepaald en </t>
    </r>
  </si>
  <si>
    <t>werkgeverslasten afgedragen.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</si>
</sst>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00"/>
    <numFmt numFmtId="165" formatCode="d/mmm/yyyy"/>
    <numFmt numFmtId="166" formatCode="_-[$€-2]\ * #,##0.00_-;_-[$€-2]\ * #,##0.00\-;_-[$€-2]\ * &quot;-&quot;??_-;_-@"/>
    <numFmt numFmtId="167" formatCode="_ [$€-2]\ * #,##0.00_ ;_ [$€-2]\ * \-#,##0.00_ ;_ [$€-2]\ * &quot;-&quot;??_ ;_ @_ "/>
    <numFmt numFmtId="168" formatCode="[$-413]d/mmm/yyyy"/>
    <numFmt numFmtId="169" formatCode="_-&quot;€&quot;\ * #,##0.00_-;_-&quot;€&quot;\ * #,##0.00\-;_-&quot;€&quot;\ * &quot;-&quot;??_-;_-@"/>
    <numFmt numFmtId="170" formatCode="_ &quot;€&quot;\ * #,##0.00_ ;_ &quot;€&quot;\ * \-#,##0.00_ ;_ &quot;€&quot;\ * &quot;-&quot;??_ ;_ @_ "/>
    <numFmt numFmtId="171" formatCode="[$€-2]\ #,##0.00"/>
  </numFmts>
  <fonts count="14">
    <font>
      <sz val="10.0"/>
      <color rgb="FF000000"/>
      <name val="Arial"/>
      <scheme val="minor"/>
    </font>
    <font>
      <sz val="10.0"/>
      <color theme="1"/>
      <name val="Arial"/>
    </font>
    <font>
      <b/>
      <sz val="13.0"/>
      <color theme="1"/>
      <name val="Arial"/>
    </font>
    <font/>
    <font>
      <b/>
      <sz val="10.0"/>
      <color theme="1"/>
      <name val="Arial"/>
    </font>
    <font>
      <b/>
      <i/>
      <sz val="10.0"/>
      <color theme="1"/>
      <name val="Arial"/>
    </font>
    <font>
      <sz val="10.0"/>
      <color rgb="FFFF0000"/>
      <name val="Arial"/>
    </font>
    <font>
      <b/>
      <sz val="10.0"/>
      <color rgb="FFFF0000"/>
      <name val="Arial"/>
    </font>
    <font>
      <sz val="12.0"/>
      <color theme="1"/>
      <name val="Arial"/>
    </font>
    <font>
      <b/>
      <sz val="10.0"/>
      <color rgb="FF000000"/>
      <name val="Arial"/>
    </font>
    <font>
      <u/>
      <sz val="10.0"/>
      <color rgb="FF0000FF"/>
      <name val="Arial"/>
    </font>
    <font>
      <i/>
      <sz val="10.0"/>
      <color theme="1"/>
      <name val="Arial"/>
    </font>
    <font>
      <b/>
      <u/>
      <sz val="10.0"/>
      <color rgb="FF0000FF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33">
    <border/>
    <border>
      <left/>
      <right/>
      <top/>
      <bottom/>
    </border>
    <border>
      <left/>
      <top/>
      <bottom/>
    </border>
    <border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top/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1" fillId="2" fontId="4" numFmtId="0" xfId="0" applyBorder="1" applyFont="1"/>
    <xf borderId="1" fillId="2" fontId="5" numFmtId="0" xfId="0" applyBorder="1" applyFont="1"/>
    <xf borderId="1" fillId="2" fontId="4" numFmtId="0" xfId="0" applyAlignment="1" applyBorder="1" applyFont="1">
      <alignment horizontal="center"/>
    </xf>
    <xf borderId="1" fillId="3" fontId="4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/>
    </xf>
    <xf borderId="1" fillId="3" fontId="1" numFmtId="0" xfId="0" applyAlignment="1" applyBorder="1" applyFont="1">
      <alignment horizontal="center"/>
    </xf>
    <xf borderId="1" fillId="2" fontId="4" numFmtId="0" xfId="0" applyAlignment="1" applyBorder="1" applyFont="1">
      <alignment horizontal="left"/>
    </xf>
    <xf borderId="1" fillId="2" fontId="1" numFmtId="0" xfId="0" applyAlignment="1" applyBorder="1" applyFont="1">
      <alignment horizontal="left"/>
    </xf>
    <xf borderId="4" fillId="2" fontId="4" numFmtId="0" xfId="0" applyAlignment="1" applyBorder="1" applyFont="1">
      <alignment horizontal="left"/>
    </xf>
    <xf borderId="5" fillId="2" fontId="4" numFmtId="0" xfId="0" applyBorder="1" applyFont="1"/>
    <xf borderId="5" fillId="2" fontId="1" numFmtId="0" xfId="0" applyBorder="1" applyFont="1"/>
    <xf borderId="6" fillId="2" fontId="4" numFmtId="0" xfId="0" applyAlignment="1" applyBorder="1" applyFont="1">
      <alignment horizontal="center"/>
    </xf>
    <xf quotePrefix="1" borderId="7" fillId="2" fontId="4" numFmtId="0" xfId="0" applyAlignment="1" applyBorder="1" applyFont="1">
      <alignment horizontal="left"/>
    </xf>
    <xf borderId="8" fillId="2" fontId="4" numFmtId="0" xfId="0" applyBorder="1" applyFont="1"/>
    <xf borderId="8" fillId="2" fontId="1" numFmtId="0" xfId="0" applyBorder="1" applyFont="1"/>
    <xf borderId="8" fillId="2" fontId="4" numFmtId="0" xfId="0" applyAlignment="1" applyBorder="1" applyFont="1">
      <alignment horizontal="center"/>
    </xf>
    <xf borderId="9" fillId="2" fontId="4" numFmtId="0" xfId="0" applyAlignment="1" applyBorder="1" applyFont="1">
      <alignment horizontal="center"/>
    </xf>
    <xf borderId="2" fillId="2" fontId="1" numFmtId="0" xfId="0" applyBorder="1" applyFont="1"/>
    <xf borderId="10" fillId="2" fontId="1" numFmtId="0" xfId="0" applyBorder="1" applyFont="1"/>
    <xf borderId="11" fillId="0" fontId="3" numFmtId="0" xfId="0" applyBorder="1" applyFont="1"/>
    <xf borderId="1" fillId="2" fontId="4" numFmtId="0" xfId="0" applyAlignment="1" applyBorder="1" applyFont="1">
      <alignment horizontal="right"/>
    </xf>
    <xf borderId="1" fillId="2" fontId="1" numFmtId="0" xfId="0" applyAlignment="1" applyBorder="1" applyFont="1">
      <alignment horizontal="right"/>
    </xf>
    <xf borderId="1" fillId="2" fontId="6" numFmtId="0" xfId="0" applyAlignment="1" applyBorder="1" applyFont="1">
      <alignment horizontal="right"/>
    </xf>
    <xf borderId="1" fillId="2" fontId="7" numFmtId="0" xfId="0" applyBorder="1" applyFont="1"/>
    <xf borderId="1" fillId="2" fontId="6" numFmtId="0" xfId="0" applyBorder="1" applyFont="1"/>
    <xf borderId="2" fillId="2" fontId="4" numFmtId="0" xfId="0" applyBorder="1" applyFont="1"/>
    <xf borderId="1" fillId="2" fontId="1" numFmtId="164" xfId="0" applyAlignment="1" applyBorder="1" applyFont="1" applyNumberFormat="1">
      <alignment horizontal="center"/>
    </xf>
    <xf borderId="1" fillId="2" fontId="1" numFmtId="10" xfId="0" applyBorder="1" applyFont="1" applyNumberFormat="1"/>
    <xf borderId="1" fillId="2" fontId="8" numFmtId="0" xfId="0" applyBorder="1" applyFont="1"/>
    <xf borderId="2" fillId="3" fontId="4" numFmtId="165" xfId="0" applyAlignment="1" applyBorder="1" applyFont="1" applyNumberFormat="1">
      <alignment horizontal="center"/>
    </xf>
    <xf borderId="1" fillId="2" fontId="1" numFmtId="165" xfId="0" applyBorder="1" applyFont="1" applyNumberFormat="1"/>
    <xf borderId="2" fillId="3" fontId="4" numFmtId="0" xfId="0" applyBorder="1" applyFont="1"/>
    <xf borderId="1" fillId="3" fontId="4" numFmtId="0" xfId="0" applyAlignment="1" applyBorder="1" applyFont="1">
      <alignment horizontal="left"/>
    </xf>
    <xf borderId="1" fillId="2" fontId="9" numFmtId="0" xfId="0" applyAlignment="1" applyBorder="1" applyFont="1">
      <alignment horizontal="center"/>
    </xf>
    <xf borderId="2" fillId="3" fontId="10" numFmtId="0" xfId="0" applyBorder="1" applyFont="1"/>
    <xf borderId="2" fillId="3" fontId="4" numFmtId="49" xfId="0" applyAlignment="1" applyBorder="1" applyFont="1" applyNumberFormat="1">
      <alignment horizontal="center"/>
    </xf>
    <xf borderId="1" fillId="2" fontId="7" numFmtId="0" xfId="0" applyAlignment="1" applyBorder="1" applyFont="1">
      <alignment horizontal="left"/>
    </xf>
    <xf borderId="1" fillId="2" fontId="6" numFmtId="0" xfId="0" applyAlignment="1" applyBorder="1" applyFont="1">
      <alignment horizontal="left"/>
    </xf>
    <xf borderId="1" fillId="2" fontId="6" numFmtId="0" xfId="0" applyAlignment="1" applyBorder="1" applyFont="1">
      <alignment horizontal="center"/>
    </xf>
    <xf borderId="2" fillId="3" fontId="4" numFmtId="0" xfId="0" applyAlignment="1" applyBorder="1" applyFont="1">
      <alignment horizontal="center"/>
    </xf>
    <xf borderId="1" fillId="2" fontId="7" numFmtId="0" xfId="0" applyAlignment="1" applyBorder="1" applyFont="1">
      <alignment horizontal="center"/>
    </xf>
    <xf borderId="1" fillId="2" fontId="1" numFmtId="1" xfId="0" applyBorder="1" applyFont="1" applyNumberFormat="1"/>
    <xf borderId="2" fillId="2" fontId="9" numFmtId="0" xfId="0" applyAlignment="1" applyBorder="1" applyFont="1">
      <alignment horizontal="center"/>
    </xf>
    <xf borderId="2" fillId="2" fontId="4" numFmtId="0" xfId="0" applyAlignment="1" applyBorder="1" applyFont="1">
      <alignment horizontal="center"/>
    </xf>
    <xf borderId="1" fillId="2" fontId="4" numFmtId="165" xfId="0" applyAlignment="1" applyBorder="1" applyFont="1" applyNumberFormat="1">
      <alignment horizontal="right"/>
    </xf>
    <xf borderId="12" fillId="2" fontId="4" numFmtId="0" xfId="0" applyAlignment="1" applyBorder="1" applyFont="1">
      <alignment horizontal="center"/>
    </xf>
    <xf borderId="13" fillId="0" fontId="3" numFmtId="0" xfId="0" applyBorder="1" applyFont="1"/>
    <xf borderId="1" fillId="2" fontId="4" numFmtId="165" xfId="0" applyBorder="1" applyFont="1" applyNumberFormat="1"/>
    <xf borderId="14" fillId="2" fontId="4" numFmtId="166" xfId="0" applyAlignment="1" applyBorder="1" applyFont="1" applyNumberFormat="1">
      <alignment horizontal="center"/>
    </xf>
    <xf borderId="15" fillId="0" fontId="3" numFmtId="0" xfId="0" applyBorder="1" applyFont="1"/>
    <xf borderId="16" fillId="2" fontId="4" numFmtId="166" xfId="0" applyAlignment="1" applyBorder="1" applyFont="1" applyNumberFormat="1">
      <alignment horizontal="center"/>
    </xf>
    <xf borderId="17" fillId="0" fontId="3" numFmtId="0" xfId="0" applyBorder="1" applyFont="1"/>
    <xf borderId="18" fillId="2" fontId="1" numFmtId="0" xfId="0" applyBorder="1" applyFont="1"/>
    <xf borderId="19" fillId="2" fontId="4" numFmtId="49" xfId="0" applyAlignment="1" applyBorder="1" applyFont="1" applyNumberFormat="1">
      <alignment horizontal="center"/>
    </xf>
    <xf borderId="19" fillId="2" fontId="1" numFmtId="0" xfId="0" applyAlignment="1" applyBorder="1" applyFont="1">
      <alignment horizontal="right"/>
    </xf>
    <xf borderId="18" fillId="2" fontId="1" numFmtId="0" xfId="0" applyAlignment="1" applyBorder="1" applyFont="1">
      <alignment horizontal="center"/>
    </xf>
    <xf borderId="20" fillId="2" fontId="1" numFmtId="0" xfId="0" applyBorder="1" applyFont="1"/>
    <xf borderId="18" fillId="2" fontId="4" numFmtId="0" xfId="0" applyAlignment="1" applyBorder="1" applyFont="1">
      <alignment horizontal="left"/>
    </xf>
    <xf borderId="21" fillId="2" fontId="4" numFmtId="0" xfId="0" applyAlignment="1" applyBorder="1" applyFont="1">
      <alignment horizontal="center"/>
    </xf>
    <xf borderId="4" fillId="2" fontId="11" numFmtId="0" xfId="0" applyBorder="1" applyFont="1"/>
    <xf borderId="5" fillId="2" fontId="11" numFmtId="49" xfId="0" applyAlignment="1" applyBorder="1" applyFont="1" applyNumberFormat="1">
      <alignment horizontal="center"/>
    </xf>
    <xf borderId="6" fillId="2" fontId="1" numFmtId="0" xfId="0" applyAlignment="1" applyBorder="1" applyFont="1">
      <alignment horizontal="right"/>
    </xf>
    <xf borderId="22" fillId="2" fontId="1" numFmtId="0" xfId="0" applyBorder="1" applyFont="1"/>
    <xf borderId="19" fillId="2" fontId="1" numFmtId="0" xfId="0" applyAlignment="1" applyBorder="1" applyFont="1">
      <alignment horizontal="center"/>
    </xf>
    <xf borderId="22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6" fillId="2" fontId="1" numFmtId="0" xfId="0" applyBorder="1" applyFont="1"/>
    <xf borderId="23" fillId="2" fontId="1" numFmtId="0" xfId="0" applyBorder="1" applyFont="1"/>
    <xf borderId="1" fillId="2" fontId="11" numFmtId="49" xfId="0" applyAlignment="1" applyBorder="1" applyFont="1" applyNumberFormat="1">
      <alignment horizontal="center"/>
    </xf>
    <xf borderId="24" fillId="2" fontId="1" numFmtId="0" xfId="0" applyAlignment="1" applyBorder="1" applyFont="1">
      <alignment horizontal="right"/>
    </xf>
    <xf borderId="25" fillId="2" fontId="1" numFmtId="0" xfId="0" applyAlignment="1" applyBorder="1" applyFont="1">
      <alignment horizontal="center"/>
    </xf>
    <xf borderId="24" fillId="2" fontId="1" numFmtId="0" xfId="0" applyBorder="1" applyFont="1"/>
    <xf borderId="26" fillId="0" fontId="3" numFmtId="0" xfId="0" applyBorder="1" applyFont="1"/>
    <xf borderId="25" fillId="2" fontId="4" numFmtId="0" xfId="0" applyAlignment="1" applyBorder="1" applyFont="1">
      <alignment horizontal="center"/>
    </xf>
    <xf borderId="1" fillId="2" fontId="4" numFmtId="2" xfId="0" applyAlignment="1" applyBorder="1" applyFont="1" applyNumberFormat="1">
      <alignment horizontal="center"/>
    </xf>
    <xf borderId="25" fillId="3" fontId="4" numFmtId="0" xfId="0" applyAlignment="1" applyBorder="1" applyFont="1">
      <alignment horizontal="center"/>
    </xf>
    <xf borderId="25" fillId="2" fontId="4" numFmtId="2" xfId="0" applyAlignment="1" applyBorder="1" applyFont="1" applyNumberFormat="1">
      <alignment horizontal="center"/>
    </xf>
    <xf borderId="27" fillId="3" fontId="1" numFmtId="0" xfId="0" applyBorder="1" applyFont="1"/>
    <xf borderId="1" fillId="2" fontId="1" numFmtId="2" xfId="0" applyBorder="1" applyFont="1" applyNumberFormat="1"/>
    <xf borderId="25" fillId="2" fontId="1" numFmtId="0" xfId="0" applyBorder="1" applyFont="1"/>
    <xf borderId="2" fillId="2" fontId="4" numFmtId="2" xfId="0" applyAlignment="1" applyBorder="1" applyFont="1" applyNumberFormat="1">
      <alignment horizontal="center"/>
    </xf>
    <xf borderId="24" fillId="2" fontId="1" numFmtId="2" xfId="0" applyBorder="1" applyFont="1" applyNumberFormat="1"/>
    <xf borderId="27" fillId="2" fontId="1" numFmtId="0" xfId="0" applyBorder="1" applyFont="1"/>
    <xf borderId="16" fillId="3" fontId="1" numFmtId="0" xfId="0" applyBorder="1" applyFont="1"/>
    <xf borderId="28" fillId="0" fontId="3" numFmtId="0" xfId="0" applyBorder="1" applyFont="1"/>
    <xf borderId="29" fillId="3" fontId="4" numFmtId="0" xfId="0" applyAlignment="1" applyBorder="1" applyFont="1">
      <alignment horizontal="center"/>
    </xf>
    <xf borderId="29" fillId="2" fontId="1" numFmtId="0" xfId="0" applyAlignment="1" applyBorder="1" applyFont="1">
      <alignment horizontal="center"/>
    </xf>
    <xf borderId="30" fillId="2" fontId="4" numFmtId="2" xfId="0" applyAlignment="1" applyBorder="1" applyFont="1" applyNumberFormat="1">
      <alignment horizontal="center"/>
    </xf>
    <xf borderId="7" fillId="2" fontId="1" numFmtId="0" xfId="0" applyBorder="1" applyFont="1"/>
    <xf borderId="29" fillId="2" fontId="1" numFmtId="0" xfId="0" applyBorder="1" applyFont="1"/>
    <xf borderId="18" fillId="2" fontId="4" numFmtId="2" xfId="0" applyAlignment="1" applyBorder="1" applyFont="1" applyNumberFormat="1">
      <alignment horizontal="center"/>
    </xf>
    <xf borderId="20" fillId="2" fontId="4" numFmtId="2" xfId="0" applyAlignment="1" applyBorder="1" applyFont="1" applyNumberFormat="1">
      <alignment horizontal="center"/>
    </xf>
    <xf borderId="31" fillId="2" fontId="4" numFmtId="2" xfId="0" applyAlignment="1" applyBorder="1" applyFont="1" applyNumberFormat="1">
      <alignment horizontal="center"/>
    </xf>
    <xf borderId="20" fillId="2" fontId="1" numFmtId="0" xfId="0" applyAlignment="1" applyBorder="1" applyFont="1">
      <alignment horizontal="center"/>
    </xf>
    <xf borderId="12" fillId="2" fontId="1" numFmtId="0" xfId="0" applyAlignment="1" applyBorder="1" applyFont="1">
      <alignment horizontal="center"/>
    </xf>
    <xf borderId="19" fillId="2" fontId="1" numFmtId="0" xfId="0" applyBorder="1" applyFont="1"/>
    <xf borderId="20" fillId="2" fontId="1" numFmtId="2" xfId="0" applyAlignment="1" applyBorder="1" applyFont="1" applyNumberFormat="1">
      <alignment horizontal="center"/>
    </xf>
    <xf borderId="12" fillId="2" fontId="1" numFmtId="2" xfId="0" applyAlignment="1" applyBorder="1" applyFont="1" applyNumberFormat="1">
      <alignment horizontal="center"/>
    </xf>
    <xf borderId="12" fillId="2" fontId="4" numFmtId="2" xfId="0" applyAlignment="1" applyBorder="1" applyFont="1" applyNumberFormat="1">
      <alignment horizontal="center"/>
    </xf>
    <xf borderId="32" fillId="0" fontId="3" numFmtId="0" xfId="0" applyBorder="1" applyFont="1"/>
    <xf borderId="2" fillId="2" fontId="5" numFmtId="0" xfId="0" applyBorder="1" applyFont="1"/>
    <xf borderId="2" fillId="2" fontId="1" numFmtId="166" xfId="0" applyAlignment="1" applyBorder="1" applyFont="1" applyNumberFormat="1">
      <alignment horizontal="center"/>
    </xf>
    <xf quotePrefix="1" borderId="1" fillId="2" fontId="1" numFmtId="0" xfId="0" applyBorder="1" applyFont="1"/>
    <xf borderId="2" fillId="2" fontId="1" numFmtId="166" xfId="0" applyAlignment="1" applyBorder="1" applyFont="1" applyNumberFormat="1">
      <alignment horizontal="right"/>
    </xf>
    <xf borderId="2" fillId="2" fontId="1" numFmtId="166" xfId="0" applyBorder="1" applyFont="1" applyNumberFormat="1"/>
    <xf borderId="2" fillId="2" fontId="1" numFmtId="0" xfId="0" applyAlignment="1" applyBorder="1" applyFont="1">
      <alignment horizontal="center"/>
    </xf>
    <xf borderId="22" fillId="2" fontId="4" numFmtId="166" xfId="0" applyAlignment="1" applyBorder="1" applyFont="1" applyNumberFormat="1">
      <alignment horizontal="center"/>
    </xf>
    <xf borderId="6" fillId="2" fontId="4" numFmtId="166" xfId="0" applyAlignment="1" applyBorder="1" applyFont="1" applyNumberFormat="1">
      <alignment horizontal="center"/>
    </xf>
    <xf borderId="14" fillId="2" fontId="4" numFmtId="166" xfId="0" applyBorder="1" applyFont="1" applyNumberFormat="1"/>
    <xf borderId="29" fillId="2" fontId="4" numFmtId="166" xfId="0" applyAlignment="1" applyBorder="1" applyFont="1" applyNumberFormat="1">
      <alignment horizontal="center"/>
    </xf>
    <xf borderId="9" fillId="2" fontId="4" numFmtId="166" xfId="0" applyAlignment="1" applyBorder="1" applyFont="1" applyNumberFormat="1">
      <alignment horizontal="center"/>
    </xf>
    <xf borderId="16" fillId="2" fontId="4" numFmtId="10" xfId="0" applyAlignment="1" applyBorder="1" applyFont="1" applyNumberFormat="1">
      <alignment horizontal="center"/>
    </xf>
    <xf borderId="2" fillId="2" fontId="4" numFmtId="10" xfId="0" applyAlignment="1" applyBorder="1" applyFont="1" applyNumberFormat="1">
      <alignment horizontal="center"/>
    </xf>
    <xf borderId="1" fillId="2" fontId="7" numFmtId="2" xfId="0" applyAlignment="1" applyBorder="1" applyFont="1" applyNumberFormat="1">
      <alignment horizontal="left"/>
    </xf>
    <xf borderId="2" fillId="3" fontId="12" numFmtId="0" xfId="0" applyBorder="1" applyFont="1"/>
    <xf borderId="2" fillId="2" fontId="4" numFmtId="165" xfId="0" applyAlignment="1" applyBorder="1" applyFont="1" applyNumberFormat="1">
      <alignment horizontal="center"/>
    </xf>
    <xf borderId="1" fillId="2" fontId="1" numFmtId="167" xfId="0" applyBorder="1" applyFont="1" applyNumberFormat="1"/>
    <xf borderId="2" fillId="2" fontId="4" numFmtId="49" xfId="0" applyAlignment="1" applyBorder="1" applyFont="1" applyNumberFormat="1">
      <alignment horizontal="center"/>
    </xf>
    <xf borderId="1" fillId="2" fontId="4" numFmtId="165" xfId="0" applyAlignment="1" applyBorder="1" applyFont="1" applyNumberFormat="1">
      <alignment horizontal="center"/>
    </xf>
    <xf borderId="1" fillId="2" fontId="4" numFmtId="165" xfId="0" applyAlignment="1" applyBorder="1" applyFont="1" applyNumberFormat="1">
      <alignment horizontal="left"/>
    </xf>
    <xf borderId="2" fillId="3" fontId="4" numFmtId="168" xfId="0" applyAlignment="1" applyBorder="1" applyFont="1" applyNumberFormat="1">
      <alignment horizontal="center"/>
    </xf>
    <xf borderId="1" fillId="2" fontId="4" numFmtId="166" xfId="0" applyAlignment="1" applyBorder="1" applyFont="1" applyNumberFormat="1">
      <alignment horizontal="center"/>
    </xf>
    <xf borderId="14" fillId="2" fontId="4" numFmtId="0" xfId="0" applyAlignment="1" applyBorder="1" applyFont="1">
      <alignment horizontal="center"/>
    </xf>
    <xf borderId="4" fillId="2" fontId="1" numFmtId="0" xfId="0" applyBorder="1" applyFont="1"/>
    <xf borderId="23" fillId="3" fontId="4" numFmtId="0" xfId="0" applyAlignment="1" applyBorder="1" applyFont="1">
      <alignment horizontal="center"/>
    </xf>
    <xf borderId="14" fillId="2" fontId="4" numFmtId="2" xfId="0" applyAlignment="1" applyBorder="1" applyFont="1" applyNumberFormat="1">
      <alignment horizontal="center"/>
    </xf>
    <xf borderId="27" fillId="2" fontId="4" numFmtId="2" xfId="0" applyAlignment="1" applyBorder="1" applyFont="1" applyNumberFormat="1">
      <alignment horizontal="center"/>
    </xf>
    <xf borderId="27" fillId="2" fontId="4" numFmtId="0" xfId="0" applyAlignment="1" applyBorder="1" applyFont="1">
      <alignment horizontal="center"/>
    </xf>
    <xf borderId="23" fillId="2" fontId="4" numFmtId="0" xfId="0" applyAlignment="1" applyBorder="1" applyFont="1">
      <alignment horizontal="center"/>
    </xf>
    <xf borderId="24" fillId="2" fontId="1" numFmtId="0" xfId="0" applyAlignment="1" applyBorder="1" applyFont="1">
      <alignment horizontal="center"/>
    </xf>
    <xf borderId="7" fillId="3" fontId="4" numFmtId="0" xfId="0" applyAlignment="1" applyBorder="1" applyFont="1">
      <alignment horizontal="center"/>
    </xf>
    <xf borderId="7" fillId="2" fontId="4" numFmtId="0" xfId="0" applyAlignment="1" applyBorder="1" applyFont="1">
      <alignment horizontal="center"/>
    </xf>
    <xf borderId="9" fillId="2" fontId="1" numFmtId="0" xfId="0" applyAlignment="1" applyBorder="1" applyFont="1">
      <alignment horizontal="center"/>
    </xf>
    <xf borderId="16" fillId="2" fontId="4" numFmtId="2" xfId="0" applyAlignment="1" applyBorder="1" applyFont="1" applyNumberFormat="1">
      <alignment horizontal="center"/>
    </xf>
    <xf borderId="1" fillId="2" fontId="1" numFmtId="166" xfId="0" applyBorder="1" applyFont="1" applyNumberFormat="1"/>
    <xf borderId="1" fillId="2" fontId="11" numFmtId="0" xfId="0" applyAlignment="1" applyBorder="1" applyFont="1">
      <alignment horizontal="left" readingOrder="0"/>
    </xf>
    <xf borderId="1" fillId="2" fontId="1" numFmtId="166" xfId="0" applyAlignment="1" applyBorder="1" applyFont="1" applyNumberFormat="1">
      <alignment horizontal="center"/>
    </xf>
    <xf borderId="0" fillId="0" fontId="1" numFmtId="166" xfId="0" applyFont="1" applyNumberFormat="1"/>
    <xf borderId="1" fillId="2" fontId="1" numFmtId="169" xfId="0" applyAlignment="1" applyBorder="1" applyFont="1" applyNumberFormat="1">
      <alignment readingOrder="0"/>
    </xf>
    <xf borderId="1" fillId="2" fontId="1" numFmtId="170" xfId="0" applyBorder="1" applyFont="1" applyNumberFormat="1"/>
    <xf borderId="0" fillId="0" fontId="1" numFmtId="169" xfId="0" applyFont="1" applyNumberFormat="1"/>
    <xf borderId="0" fillId="0" fontId="13" numFmtId="171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licht@voorbeeld.nl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5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6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9" width="9.13"/>
    <col customWidth="1" min="10" max="10" width="10.63"/>
    <col customWidth="1" min="11" max="11" width="9.13"/>
    <col customWidth="1" min="12" max="12" width="3.13"/>
    <col customWidth="1" min="13" max="14" width="9.13"/>
    <col customWidth="1" min="15" max="15" width="3.25"/>
    <col customWidth="1" min="16" max="16" width="9.13"/>
    <col customWidth="1" min="17" max="17" width="2.63"/>
    <col customWidth="1" min="18" max="26" width="8.75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12.75" customHeight="1">
      <c r="A4" s="1" t="s">
        <v>1</v>
      </c>
      <c r="B4" s="4" t="s">
        <v>2</v>
      </c>
      <c r="C4" s="1"/>
      <c r="D4" s="1"/>
      <c r="E4" s="1"/>
      <c r="F4" s="1"/>
      <c r="G4" s="1" t="s">
        <v>3</v>
      </c>
      <c r="H4" s="5" t="str">
        <f>'KM1'!$I$15</f>
        <v>Grote Kerk</v>
      </c>
      <c r="I4" s="1"/>
      <c r="J4" s="1"/>
      <c r="K4" s="1"/>
      <c r="L4" s="1"/>
      <c r="M4" s="1"/>
      <c r="N4" s="1"/>
      <c r="O4" s="1"/>
      <c r="P4" s="1"/>
      <c r="Q4" s="1"/>
    </row>
    <row r="5" ht="12.75" customHeight="1">
      <c r="A5" s="1"/>
      <c r="B5" s="4"/>
      <c r="C5" s="1"/>
      <c r="D5" s="1"/>
      <c r="E5" s="1"/>
      <c r="F5" s="1"/>
      <c r="G5" s="1"/>
      <c r="H5" s="6"/>
      <c r="I5" s="1"/>
      <c r="J5" s="5"/>
      <c r="K5" s="4"/>
      <c r="L5" s="1"/>
      <c r="M5" s="1"/>
      <c r="N5" s="1"/>
      <c r="O5" s="1"/>
      <c r="P5" s="1"/>
      <c r="Q5" s="1"/>
    </row>
    <row r="6" ht="12.75" customHeight="1">
      <c r="A6" s="1"/>
      <c r="B6" s="4" t="s">
        <v>4</v>
      </c>
      <c r="C6" s="1"/>
      <c r="D6" s="1"/>
      <c r="E6" s="1"/>
      <c r="F6" s="1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ht="12.75" customHeight="1">
      <c r="A7" s="1"/>
      <c r="B7" s="1"/>
      <c r="C7" s="1" t="s">
        <v>6</v>
      </c>
      <c r="D7" s="1"/>
      <c r="E7" s="7">
        <v>52.0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ht="12.75" customHeight="1">
      <c r="A8" s="1"/>
      <c r="B8" s="1"/>
      <c r="C8" s="1" t="s">
        <v>7</v>
      </c>
      <c r="D8" s="1"/>
      <c r="E8" s="7">
        <v>1.0</v>
      </c>
      <c r="F8" s="1"/>
      <c r="G8" s="1"/>
      <c r="H8" s="1"/>
      <c r="I8" s="1"/>
      <c r="J8" s="6"/>
      <c r="K8" s="1"/>
      <c r="L8" s="1"/>
      <c r="M8" s="1"/>
      <c r="N8" s="1"/>
      <c r="O8" s="1"/>
      <c r="P8" s="1"/>
      <c r="Q8" s="1"/>
    </row>
    <row r="9" ht="12.75" customHeight="1">
      <c r="A9" s="1"/>
      <c r="B9" s="1"/>
      <c r="C9" s="1"/>
      <c r="D9" s="1" t="s">
        <v>8</v>
      </c>
      <c r="E9" s="6"/>
      <c r="F9" s="8">
        <f>E7*E8</f>
        <v>52</v>
      </c>
      <c r="G9" s="1"/>
      <c r="H9" s="1"/>
      <c r="I9" s="1"/>
      <c r="J9" s="6"/>
      <c r="K9" s="1"/>
      <c r="L9" s="1"/>
      <c r="M9" s="1"/>
      <c r="N9" s="1"/>
      <c r="O9" s="1"/>
      <c r="P9" s="1"/>
      <c r="Q9" s="1"/>
    </row>
    <row r="10" ht="12.75" customHeight="1">
      <c r="A10" s="1"/>
      <c r="B10" s="1"/>
      <c r="C10" s="1" t="s">
        <v>9</v>
      </c>
      <c r="D10" s="1"/>
      <c r="E10" s="6"/>
      <c r="F10" s="9">
        <v>0.0</v>
      </c>
      <c r="G10" s="1"/>
      <c r="H10" s="1"/>
      <c r="I10" s="1"/>
      <c r="J10" s="6"/>
      <c r="K10" s="1"/>
      <c r="L10" s="1"/>
      <c r="M10" s="1"/>
      <c r="N10" s="1"/>
      <c r="O10" s="1"/>
      <c r="P10" s="1"/>
      <c r="Q10" s="1"/>
    </row>
    <row r="11" ht="12.75" customHeight="1">
      <c r="A11" s="1"/>
      <c r="B11" s="1"/>
      <c r="C11" s="1" t="s">
        <v>10</v>
      </c>
      <c r="D11" s="1"/>
      <c r="E11" s="6"/>
      <c r="F11" s="8">
        <f>SUM(F9:F10)</f>
        <v>52</v>
      </c>
      <c r="G11" s="1"/>
      <c r="H11" s="1"/>
      <c r="I11" s="1"/>
      <c r="J11" s="6"/>
      <c r="K11" s="1"/>
      <c r="L11" s="1"/>
      <c r="M11" s="1"/>
      <c r="N11" s="1"/>
      <c r="O11" s="1"/>
      <c r="P11" s="1"/>
      <c r="Q11" s="1"/>
    </row>
    <row r="12" ht="12.75" customHeight="1">
      <c r="A12" s="1"/>
      <c r="B12" s="1"/>
      <c r="C12" s="1"/>
      <c r="D12" s="1"/>
      <c r="E12" s="6"/>
      <c r="F12" s="8"/>
      <c r="G12" s="1"/>
      <c r="H12" s="1"/>
      <c r="I12" s="1"/>
      <c r="J12" s="6"/>
      <c r="K12" s="1"/>
      <c r="L12" s="1"/>
      <c r="M12" s="1"/>
      <c r="N12" s="1"/>
      <c r="O12" s="1"/>
      <c r="P12" s="1"/>
      <c r="Q12" s="1"/>
    </row>
    <row r="13" ht="12.75" customHeight="1">
      <c r="A13" s="1"/>
      <c r="B13" s="10" t="s">
        <v>11</v>
      </c>
      <c r="C13" s="1"/>
      <c r="D13" s="1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ht="12.75" customHeight="1">
      <c r="A14" s="1"/>
      <c r="B14" s="1"/>
      <c r="C14" s="11" t="s">
        <v>12</v>
      </c>
      <c r="D14" s="1"/>
      <c r="E14" s="8"/>
      <c r="F14" s="9">
        <v>1.0</v>
      </c>
      <c r="G14" s="1"/>
      <c r="H14" s="8"/>
      <c r="I14" s="1"/>
      <c r="J14" s="1"/>
      <c r="K14" s="1"/>
      <c r="L14" s="1"/>
      <c r="M14" s="1"/>
      <c r="N14" s="1"/>
      <c r="O14" s="1"/>
      <c r="P14" s="1"/>
      <c r="Q14" s="1"/>
    </row>
    <row r="15" ht="12.75" customHeight="1">
      <c r="A15" s="1"/>
      <c r="B15" s="1"/>
      <c r="C15" s="1" t="s">
        <v>13</v>
      </c>
      <c r="D15" s="1"/>
      <c r="E15" s="1"/>
      <c r="F15" s="9">
        <v>1.0</v>
      </c>
      <c r="G15" s="1"/>
      <c r="H15" s="8"/>
      <c r="I15" s="1"/>
      <c r="J15" s="1"/>
      <c r="K15" s="1"/>
      <c r="L15" s="1"/>
      <c r="M15" s="1"/>
      <c r="N15" s="1"/>
      <c r="O15" s="1"/>
      <c r="P15" s="1"/>
      <c r="Q15" s="1"/>
    </row>
    <row r="16" ht="12.75" customHeight="1">
      <c r="A16" s="1"/>
      <c r="B16" s="1"/>
      <c r="C16" s="1" t="s">
        <v>14</v>
      </c>
      <c r="D16" s="1"/>
      <c r="E16" s="1"/>
      <c r="F16" s="9">
        <v>0.0</v>
      </c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</row>
    <row r="17" ht="12.75" customHeight="1">
      <c r="A17" s="1"/>
      <c r="B17" s="1"/>
      <c r="C17" s="1" t="s">
        <v>15</v>
      </c>
      <c r="D17" s="1"/>
      <c r="E17" s="1"/>
      <c r="F17" s="9">
        <v>0.0</v>
      </c>
      <c r="G17" s="1"/>
      <c r="H17" s="8"/>
      <c r="I17" s="1"/>
      <c r="J17" s="1"/>
      <c r="K17" s="1"/>
      <c r="L17" s="1"/>
      <c r="M17" s="1"/>
      <c r="N17" s="1"/>
      <c r="O17" s="1"/>
      <c r="P17" s="1"/>
      <c r="Q17" s="1"/>
    </row>
    <row r="18" ht="12.75" customHeight="1">
      <c r="A18" s="1"/>
      <c r="B18" s="1"/>
      <c r="C18" s="1" t="s">
        <v>16</v>
      </c>
      <c r="D18" s="1"/>
      <c r="E18" s="1"/>
      <c r="F18" s="9">
        <v>1.0</v>
      </c>
      <c r="G18" s="1"/>
      <c r="H18" s="8"/>
      <c r="I18" s="1"/>
      <c r="J18" s="1"/>
      <c r="K18" s="1"/>
      <c r="L18" s="1"/>
      <c r="M18" s="1"/>
      <c r="N18" s="1"/>
      <c r="O18" s="1"/>
      <c r="P18" s="1"/>
      <c r="Q18" s="1"/>
    </row>
    <row r="19" ht="12.75" customHeight="1">
      <c r="A19" s="1"/>
      <c r="B19" s="1"/>
      <c r="C19" s="1" t="s">
        <v>17</v>
      </c>
      <c r="D19" s="1"/>
      <c r="E19" s="1"/>
      <c r="F19" s="9">
        <v>1.0</v>
      </c>
      <c r="G19" s="1"/>
      <c r="H19" s="8"/>
      <c r="I19" s="1"/>
      <c r="J19" s="1"/>
      <c r="K19" s="1"/>
      <c r="L19" s="1"/>
      <c r="M19" s="1"/>
      <c r="N19" s="1"/>
      <c r="O19" s="1"/>
      <c r="P19" s="1"/>
      <c r="Q19" s="1"/>
    </row>
    <row r="20" ht="12.75" customHeight="1">
      <c r="A20" s="1"/>
      <c r="B20" s="1"/>
      <c r="C20" s="1" t="s">
        <v>18</v>
      </c>
      <c r="D20" s="1"/>
      <c r="E20" s="1"/>
      <c r="F20" s="9">
        <v>0.0</v>
      </c>
      <c r="G20" s="1"/>
      <c r="H20" s="8"/>
      <c r="I20" s="1"/>
      <c r="J20" s="1"/>
      <c r="K20" s="1"/>
      <c r="L20" s="1"/>
      <c r="M20" s="1"/>
      <c r="N20" s="1"/>
      <c r="O20" s="1"/>
      <c r="P20" s="1"/>
      <c r="Q20" s="1"/>
    </row>
    <row r="21" ht="12.75" customHeight="1">
      <c r="A21" s="1"/>
      <c r="B21" s="1"/>
      <c r="C21" s="1" t="s">
        <v>19</v>
      </c>
      <c r="D21" s="1"/>
      <c r="E21" s="1"/>
      <c r="F21" s="9">
        <v>0.0</v>
      </c>
      <c r="G21" s="1"/>
      <c r="H21" s="12" t="s">
        <v>20</v>
      </c>
      <c r="I21" s="13"/>
      <c r="J21" s="13"/>
      <c r="K21" s="14"/>
      <c r="L21" s="15">
        <f>F30</f>
        <v>60</v>
      </c>
      <c r="M21" s="4"/>
      <c r="N21" s="1"/>
      <c r="O21" s="1"/>
      <c r="P21" s="1"/>
      <c r="Q21" s="1"/>
    </row>
    <row r="22" ht="12.75" customHeight="1">
      <c r="A22" s="1"/>
      <c r="B22" s="1"/>
      <c r="C22" s="1" t="s">
        <v>21</v>
      </c>
      <c r="D22" s="1"/>
      <c r="E22" s="1"/>
      <c r="F22" s="9">
        <v>0.0</v>
      </c>
      <c r="G22" s="1"/>
      <c r="H22" s="16" t="s">
        <v>22</v>
      </c>
      <c r="I22" s="17"/>
      <c r="J22" s="18"/>
      <c r="K22" s="19">
        <f>E8</f>
        <v>1</v>
      </c>
      <c r="L22" s="20">
        <f>7*E8</f>
        <v>7</v>
      </c>
      <c r="M22" s="4"/>
      <c r="N22" s="1"/>
      <c r="O22" s="1"/>
      <c r="P22" s="1"/>
      <c r="Q22" s="1"/>
    </row>
    <row r="23" ht="12.75" customHeight="1">
      <c r="A23" s="1"/>
      <c r="B23" s="1"/>
      <c r="C23" s="1" t="s">
        <v>23</v>
      </c>
      <c r="D23" s="1"/>
      <c r="E23" s="1"/>
      <c r="F23" s="9">
        <v>0.0</v>
      </c>
      <c r="G23" s="1"/>
      <c r="H23" s="6"/>
      <c r="I23" s="4"/>
      <c r="J23" s="4"/>
      <c r="K23" s="1"/>
      <c r="L23" s="4"/>
      <c r="M23" s="1"/>
      <c r="N23" s="1"/>
      <c r="O23" s="1"/>
      <c r="P23" s="1"/>
      <c r="Q23" s="1"/>
    </row>
    <row r="24" ht="12.75" customHeight="1">
      <c r="A24" s="1"/>
      <c r="B24" s="1"/>
      <c r="C24" s="1" t="s">
        <v>24</v>
      </c>
      <c r="D24" s="1"/>
      <c r="E24" s="1"/>
      <c r="F24" s="9">
        <v>0.0</v>
      </c>
      <c r="G24" s="1"/>
      <c r="H24" s="10"/>
      <c r="I24" s="4"/>
      <c r="J24" s="4"/>
      <c r="K24" s="1"/>
      <c r="L24" s="6"/>
      <c r="M24" s="4"/>
      <c r="N24" s="1"/>
      <c r="O24" s="1"/>
      <c r="P24" s="1"/>
      <c r="Q24" s="1"/>
    </row>
    <row r="25" ht="12.75" customHeight="1">
      <c r="A25" s="1"/>
      <c r="B25" s="1"/>
      <c r="C25" s="1" t="s">
        <v>25</v>
      </c>
      <c r="D25" s="1"/>
      <c r="E25" s="1"/>
      <c r="F25" s="9">
        <v>1.0</v>
      </c>
      <c r="G25" s="1"/>
      <c r="H25" s="8"/>
      <c r="I25" s="4"/>
      <c r="J25" s="4"/>
      <c r="K25" s="4"/>
      <c r="L25" s="4"/>
      <c r="M25" s="4"/>
      <c r="N25" s="1"/>
      <c r="O25" s="1"/>
      <c r="P25" s="1"/>
      <c r="Q25" s="1"/>
    </row>
    <row r="26" ht="12.75" customHeight="1">
      <c r="A26" s="1"/>
      <c r="B26" s="1"/>
      <c r="C26" s="1" t="s">
        <v>26</v>
      </c>
      <c r="D26" s="1"/>
      <c r="E26" s="1"/>
      <c r="F26" s="9">
        <v>0.0</v>
      </c>
      <c r="G26" s="1"/>
      <c r="H26" s="8"/>
      <c r="I26" s="4"/>
      <c r="J26" s="4"/>
      <c r="K26" s="6"/>
      <c r="L26" s="4"/>
      <c r="M26" s="4"/>
      <c r="N26" s="1"/>
      <c r="O26" s="1"/>
      <c r="P26" s="1"/>
      <c r="Q26" s="1"/>
    </row>
    <row r="27" ht="12.75" customHeight="1">
      <c r="A27" s="1"/>
      <c r="B27" s="1"/>
      <c r="C27" s="21" t="s">
        <v>27</v>
      </c>
      <c r="D27" s="3"/>
      <c r="E27" s="3"/>
      <c r="F27" s="9">
        <v>0.0</v>
      </c>
      <c r="G27" s="1"/>
      <c r="H27" s="8"/>
      <c r="I27" s="1"/>
      <c r="J27" s="1"/>
      <c r="K27" s="1"/>
      <c r="L27" s="1"/>
      <c r="M27" s="1"/>
      <c r="N27" s="1"/>
      <c r="O27" s="1"/>
      <c r="P27" s="1"/>
      <c r="Q27" s="1"/>
    </row>
    <row r="28" ht="12.75" customHeight="1">
      <c r="A28" s="1"/>
      <c r="B28" s="1"/>
      <c r="C28" s="21" t="s">
        <v>28</v>
      </c>
      <c r="D28" s="3"/>
      <c r="E28" s="3"/>
      <c r="F28" s="9"/>
      <c r="G28" s="1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ht="12.75" customHeight="1">
      <c r="A29" s="1"/>
      <c r="B29" s="1"/>
      <c r="C29" s="22" t="s">
        <v>29</v>
      </c>
      <c r="D29" s="23"/>
      <c r="E29" s="23"/>
      <c r="F29" s="9">
        <v>3.0</v>
      </c>
      <c r="G29" s="1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ht="12.75" customHeight="1">
      <c r="A30" s="1"/>
      <c r="B30" s="1"/>
      <c r="C30" s="4" t="s">
        <v>30</v>
      </c>
      <c r="D30" s="1"/>
      <c r="E30" s="1"/>
      <c r="F30" s="6">
        <f>SUM(F14:F29)+F11</f>
        <v>60</v>
      </c>
      <c r="G30" s="4"/>
      <c r="H30" s="24" t="s">
        <v>31</v>
      </c>
      <c r="I30" s="10"/>
      <c r="J30" s="4"/>
      <c r="K30" s="25"/>
      <c r="L30" s="1"/>
      <c r="M30" s="1"/>
      <c r="N30" s="1"/>
      <c r="O30" s="1"/>
      <c r="P30" s="1"/>
      <c r="Q30" s="1"/>
    </row>
    <row r="31" ht="12.75" customHeight="1">
      <c r="A31" s="1"/>
      <c r="B31" s="1"/>
      <c r="C31" s="1"/>
      <c r="D31" s="26"/>
      <c r="E31" s="27"/>
      <c r="F31" s="2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ht="12.75" customHeight="1">
      <c r="A32" s="1" t="s">
        <v>32</v>
      </c>
      <c r="B32" s="4" t="s">
        <v>33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 t="s">
        <v>34</v>
      </c>
      <c r="Q33" s="1"/>
    </row>
    <row r="34" ht="12.75" customHeight="1">
      <c r="A34" s="1"/>
      <c r="B34" s="1" t="s">
        <v>35</v>
      </c>
      <c r="C34" s="1"/>
      <c r="D34" s="29" t="str">
        <f>IF('KM1'!$C$5="","geen naam",'KM1'!$C$5)</f>
        <v>H.A.Licht</v>
      </c>
      <c r="E34" s="3"/>
      <c r="F34" s="3"/>
      <c r="G34" s="1"/>
      <c r="H34" s="25"/>
      <c r="I34" s="25" t="s">
        <v>36</v>
      </c>
      <c r="J34" s="1"/>
      <c r="K34" s="7">
        <v>50.0</v>
      </c>
      <c r="L34" s="1"/>
      <c r="M34" s="8">
        <f>IF('KM1'!$C$5="",0,K34)</f>
        <v>50</v>
      </c>
      <c r="N34" s="1" t="s">
        <v>37</v>
      </c>
      <c r="O34" s="8"/>
      <c r="P34" s="30">
        <f>M34/L21</f>
        <v>0.8333333333</v>
      </c>
      <c r="Q34" s="1"/>
    </row>
    <row r="35" ht="12.75" customHeight="1">
      <c r="A35" s="1"/>
      <c r="B35" s="1"/>
      <c r="C35" s="1"/>
      <c r="D35" s="4"/>
      <c r="E35" s="4"/>
      <c r="F35" s="1"/>
      <c r="G35" s="1"/>
      <c r="H35" s="25"/>
      <c r="I35" s="1"/>
      <c r="J35" s="1"/>
      <c r="K35" s="6"/>
      <c r="L35" s="1"/>
      <c r="M35" s="1"/>
      <c r="N35" s="1"/>
      <c r="O35" s="1"/>
      <c r="P35" s="30"/>
      <c r="Q35" s="1"/>
    </row>
    <row r="36" ht="12.75" customHeight="1">
      <c r="A36" s="1"/>
      <c r="B36" s="1" t="s">
        <v>38</v>
      </c>
      <c r="C36" s="1"/>
      <c r="D36" s="29" t="str">
        <f>IF('KM2'!$I$17&lt;2,"niet van toepassing",'KM2'!$C$5)</f>
        <v/>
      </c>
      <c r="E36" s="3"/>
      <c r="F36" s="3"/>
      <c r="G36" s="1"/>
      <c r="H36" s="1"/>
      <c r="I36" s="25" t="s">
        <v>36</v>
      </c>
      <c r="J36" s="1"/>
      <c r="K36" s="7">
        <v>10.0</v>
      </c>
      <c r="L36" s="1"/>
      <c r="M36" s="8">
        <f>IF('KM1'!$I$17&lt;2,0,K36)</f>
        <v>10</v>
      </c>
      <c r="N36" s="1" t="s">
        <v>37</v>
      </c>
      <c r="O36" s="1"/>
      <c r="P36" s="30">
        <f>M36/L21</f>
        <v>0.1666666667</v>
      </c>
      <c r="Q36" s="1"/>
    </row>
    <row r="37" ht="12.75" customHeight="1">
      <c r="A37" s="1"/>
      <c r="B37" s="1"/>
      <c r="C37" s="1"/>
      <c r="D37" s="4"/>
      <c r="E37" s="4"/>
      <c r="F37" s="1"/>
      <c r="G37" s="1"/>
      <c r="H37" s="25"/>
      <c r="I37" s="1"/>
      <c r="J37" s="1"/>
      <c r="K37" s="6"/>
      <c r="L37" s="1"/>
      <c r="M37" s="1"/>
      <c r="N37" s="1"/>
      <c r="O37" s="1"/>
      <c r="P37" s="30"/>
      <c r="Q37" s="1"/>
    </row>
    <row r="38" ht="12.75" customHeight="1">
      <c r="A38" s="1"/>
      <c r="B38" s="1" t="s">
        <v>39</v>
      </c>
      <c r="C38" s="1"/>
      <c r="D38" s="29" t="str">
        <f>IF('KM3'!$I$17&lt;3,"niet van toepassing",'KM3'!$C$5)</f>
        <v/>
      </c>
      <c r="E38" s="3"/>
      <c r="F38" s="3"/>
      <c r="G38" s="1"/>
      <c r="H38" s="1"/>
      <c r="I38" s="25" t="s">
        <v>36</v>
      </c>
      <c r="J38" s="1"/>
      <c r="K38" s="7">
        <v>0.0</v>
      </c>
      <c r="L38" s="1"/>
      <c r="M38" s="8">
        <f>IF('KM1'!$I$17&lt;3,0,K38)</f>
        <v>0</v>
      </c>
      <c r="N38" s="1" t="s">
        <v>37</v>
      </c>
      <c r="O38" s="1"/>
      <c r="P38" s="30">
        <f>M38/L21</f>
        <v>0</v>
      </c>
      <c r="Q38" s="1"/>
    </row>
    <row r="39" ht="12.75" customHeight="1">
      <c r="A39" s="1"/>
      <c r="B39" s="1"/>
      <c r="C39" s="1"/>
      <c r="D39" s="4"/>
      <c r="E39" s="4"/>
      <c r="F39" s="1"/>
      <c r="G39" s="1"/>
      <c r="H39" s="25"/>
      <c r="I39" s="1"/>
      <c r="J39" s="1"/>
      <c r="K39" s="6"/>
      <c r="L39" s="1"/>
      <c r="M39" s="1"/>
      <c r="N39" s="1"/>
      <c r="O39" s="1"/>
      <c r="P39" s="30"/>
      <c r="Q39" s="1"/>
    </row>
    <row r="40" ht="12.75" customHeight="1">
      <c r="A40" s="1"/>
      <c r="B40" s="1" t="s">
        <v>40</v>
      </c>
      <c r="C40" s="1"/>
      <c r="D40" s="29" t="str">
        <f>IF('KM4'!$I$17&lt;4,"niet van toepassing",'KM4'!$C$5)</f>
        <v/>
      </c>
      <c r="E40" s="3"/>
      <c r="F40" s="3"/>
      <c r="G40" s="1"/>
      <c r="H40" s="1"/>
      <c r="I40" s="25" t="s">
        <v>36</v>
      </c>
      <c r="J40" s="1"/>
      <c r="K40" s="7">
        <v>0.0</v>
      </c>
      <c r="L40" s="1"/>
      <c r="M40" s="8">
        <f>IF('KM1'!$I$17&lt;4,0,K40)</f>
        <v>0</v>
      </c>
      <c r="N40" s="1" t="s">
        <v>37</v>
      </c>
      <c r="O40" s="1"/>
      <c r="P40" s="30">
        <f>M40/L21</f>
        <v>0</v>
      </c>
      <c r="Q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25"/>
      <c r="J41" s="1"/>
      <c r="K41" s="8"/>
      <c r="L41" s="1"/>
      <c r="M41" s="8"/>
      <c r="N41" s="1"/>
      <c r="O41" s="1"/>
      <c r="P41" s="30"/>
      <c r="Q41" s="1"/>
    </row>
    <row r="42" ht="12.75" customHeight="1">
      <c r="A42" s="1"/>
      <c r="B42" s="1" t="s">
        <v>41</v>
      </c>
      <c r="C42" s="1"/>
      <c r="D42" s="29" t="str">
        <f>IF('KM5'!$I$17&lt;5,"niet van toepassing",'KM5'!C5)</f>
        <v/>
      </c>
      <c r="E42" s="3"/>
      <c r="F42" s="3"/>
      <c r="G42" s="1"/>
      <c r="H42" s="1"/>
      <c r="I42" s="25" t="s">
        <v>36</v>
      </c>
      <c r="J42" s="1"/>
      <c r="K42" s="7">
        <v>0.0</v>
      </c>
      <c r="L42" s="1"/>
      <c r="M42" s="8">
        <f>IF('KM1'!$I$17&lt;5,0,K42)</f>
        <v>0</v>
      </c>
      <c r="N42" s="1" t="s">
        <v>37</v>
      </c>
      <c r="O42" s="1"/>
      <c r="P42" s="30">
        <f>M42/L21</f>
        <v>0</v>
      </c>
      <c r="Q42" s="1"/>
    </row>
    <row r="43" ht="12.75" customHeight="1">
      <c r="A43" s="1"/>
      <c r="B43" s="1"/>
      <c r="C43" s="1"/>
      <c r="D43" s="4"/>
      <c r="E43" s="4"/>
      <c r="F43" s="1"/>
      <c r="G43" s="1"/>
      <c r="H43" s="1"/>
      <c r="I43" s="25"/>
      <c r="J43" s="1"/>
      <c r="K43" s="6"/>
      <c r="L43" s="1"/>
      <c r="M43" s="1"/>
      <c r="N43" s="1"/>
      <c r="O43" s="1"/>
      <c r="P43" s="30"/>
      <c r="Q43" s="1"/>
    </row>
    <row r="44" ht="12.75" customHeight="1">
      <c r="A44" s="1"/>
      <c r="B44" s="1"/>
      <c r="C44" s="1"/>
      <c r="D44" s="29"/>
      <c r="E44" s="3"/>
      <c r="F44" s="3"/>
      <c r="G44" s="1"/>
      <c r="H44" s="25"/>
      <c r="I44" s="24" t="s">
        <v>42</v>
      </c>
      <c r="J44" s="1"/>
      <c r="K44" s="1"/>
      <c r="L44" s="1"/>
      <c r="M44" s="7">
        <v>0.0</v>
      </c>
      <c r="N44" s="1" t="s">
        <v>43</v>
      </c>
      <c r="O44" s="1"/>
      <c r="P44" s="30">
        <f>M44/L21</f>
        <v>0</v>
      </c>
      <c r="Q44" s="1"/>
    </row>
    <row r="45" ht="12.75" customHeight="1">
      <c r="A45" s="1"/>
      <c r="B45" s="1"/>
      <c r="C45" s="1"/>
      <c r="D45" s="4"/>
      <c r="E45" s="4"/>
      <c r="F45" s="1"/>
      <c r="G45" s="1"/>
      <c r="H45" s="1"/>
      <c r="I45" s="1"/>
      <c r="J45" s="1"/>
      <c r="K45" s="1"/>
      <c r="L45" s="27"/>
      <c r="M45" s="1"/>
      <c r="N45" s="31"/>
      <c r="O45" s="1"/>
      <c r="P45" s="30"/>
      <c r="Q45" s="1"/>
    </row>
    <row r="46" ht="12.75" customHeight="1">
      <c r="A46" s="1"/>
      <c r="B46" s="1"/>
      <c r="C46" s="1"/>
      <c r="D46" s="29"/>
      <c r="E46" s="3"/>
      <c r="F46" s="3"/>
      <c r="G46" s="1"/>
      <c r="H46" s="24" t="s">
        <v>30</v>
      </c>
      <c r="I46" s="1"/>
      <c r="J46" s="1"/>
      <c r="K46" s="1"/>
      <c r="L46" s="6"/>
      <c r="M46" s="6">
        <f>SUM(M34:M42)+M44</f>
        <v>60</v>
      </c>
      <c r="N46" s="1"/>
      <c r="O46" s="1"/>
      <c r="P46" s="30">
        <f>SUM(P34:P44)</f>
        <v>1</v>
      </c>
      <c r="Q46" s="1"/>
    </row>
    <row r="47" ht="12.75" customHeight="1">
      <c r="A47" s="1"/>
      <c r="B47" s="1"/>
      <c r="C47" s="1"/>
      <c r="D47" s="4"/>
      <c r="E47" s="4"/>
      <c r="F47" s="1"/>
      <c r="G47" s="1"/>
      <c r="H47" s="1"/>
      <c r="I47" s="1"/>
      <c r="J47" s="25"/>
      <c r="K47" s="1"/>
      <c r="L47" s="6"/>
      <c r="M47" s="1"/>
      <c r="N47" s="1"/>
      <c r="O47" s="1"/>
      <c r="P47" s="1"/>
      <c r="Q47" s="1"/>
    </row>
    <row r="48" ht="12.75" customHeight="1">
      <c r="A48" s="1"/>
      <c r="B48" s="1"/>
      <c r="C48" s="1"/>
      <c r="D48" s="29"/>
      <c r="E48" s="3"/>
      <c r="F48" s="3"/>
      <c r="G48" s="1"/>
      <c r="H48" s="1"/>
      <c r="I48" s="1"/>
      <c r="J48" s="25"/>
      <c r="K48" s="8"/>
      <c r="L48" s="6"/>
      <c r="M48" s="27" t="str">
        <f>IF(($M$34+$M$36+$M$38+$M$40+$M$42+$M$44)=0,"Geen diensten toegewezen",IF($M$46=$F$30,"","Diensten niet juist verdeeld"))</f>
        <v/>
      </c>
      <c r="N48" s="1"/>
      <c r="O48" s="1"/>
      <c r="P48" s="1"/>
      <c r="Q48" s="1"/>
    </row>
    <row r="49" ht="12.75" customHeight="1">
      <c r="A49" s="1"/>
      <c r="B49" s="1"/>
      <c r="C49" s="1"/>
      <c r="D49" s="4"/>
      <c r="E49" s="1"/>
      <c r="F49" s="1"/>
      <c r="G49" s="1"/>
      <c r="H49" s="1"/>
      <c r="I49" s="1"/>
      <c r="J49" s="25"/>
      <c r="K49" s="8"/>
      <c r="L49" s="6"/>
      <c r="M49" s="1"/>
      <c r="N49" s="1"/>
      <c r="O49" s="1"/>
      <c r="P49" s="1"/>
      <c r="Q49" s="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D40:F40"/>
    <mergeCell ref="D42:F42"/>
    <mergeCell ref="D44:F44"/>
    <mergeCell ref="D46:F46"/>
    <mergeCell ref="D48:F48"/>
    <mergeCell ref="A2:M2"/>
    <mergeCell ref="C27:E27"/>
    <mergeCell ref="C28:E28"/>
    <mergeCell ref="C29:E29"/>
    <mergeCell ref="D34:F34"/>
    <mergeCell ref="D36:F36"/>
    <mergeCell ref="D38:F3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25.0"/>
    <col customWidth="1" min="3" max="3" width="16.75"/>
    <col customWidth="1" min="4" max="4" width="19.88"/>
    <col customWidth="1" min="5" max="5" width="9.13"/>
    <col customWidth="1" min="6" max="7" width="10.88"/>
    <col customWidth="1" min="8" max="8" width="9.25"/>
    <col customWidth="1" min="9" max="10" width="9.13"/>
    <col customWidth="1" min="11" max="11" width="10.88"/>
    <col customWidth="1" min="12" max="12" width="11.63"/>
    <col customWidth="1" min="13" max="13" width="9.13"/>
    <col customWidth="1" min="14" max="26" width="14.38"/>
  </cols>
  <sheetData>
    <row r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 customHeight="1">
      <c r="A2" s="2" t="s">
        <v>44</v>
      </c>
      <c r="B2" s="3"/>
      <c r="C2" s="3"/>
      <c r="D2" s="3"/>
      <c r="E2" s="3"/>
      <c r="F2" s="3"/>
      <c r="G2" s="3"/>
      <c r="H2" s="3"/>
      <c r="I2" s="3"/>
      <c r="J2" s="32"/>
      <c r="K2" s="32"/>
      <c r="L2" s="32"/>
      <c r="M2" s="32"/>
    </row>
    <row r="3" ht="12.75" customHeight="1">
      <c r="A3" s="1"/>
      <c r="B3" s="1"/>
      <c r="C3" s="1"/>
      <c r="D3" s="1"/>
      <c r="E3" s="1" t="s">
        <v>45</v>
      </c>
      <c r="F3" s="1"/>
      <c r="G3" s="1"/>
      <c r="H3" s="1"/>
      <c r="I3" s="33">
        <v>39752.0</v>
      </c>
      <c r="J3" s="3"/>
      <c r="K3" s="1"/>
      <c r="L3" s="1"/>
      <c r="M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34"/>
      <c r="K4" s="1"/>
      <c r="L4" s="1"/>
      <c r="M4" s="1"/>
    </row>
    <row r="5" ht="12.75" customHeight="1">
      <c r="A5" s="1" t="s">
        <v>46</v>
      </c>
      <c r="B5" s="1" t="s">
        <v>47</v>
      </c>
      <c r="C5" s="35" t="s">
        <v>48</v>
      </c>
      <c r="D5" s="3"/>
      <c r="E5" s="1"/>
      <c r="F5" s="1"/>
      <c r="G5" s="25" t="s">
        <v>49</v>
      </c>
      <c r="H5" s="1"/>
      <c r="I5" s="33">
        <v>18537.0</v>
      </c>
      <c r="J5" s="3"/>
      <c r="K5" s="1"/>
      <c r="L5" s="1"/>
      <c r="M5" s="1"/>
    </row>
    <row r="6" ht="12.75" customHeight="1">
      <c r="A6" s="1"/>
      <c r="B6" s="1" t="s">
        <v>50</v>
      </c>
      <c r="C6" s="36">
        <v>1234567.0</v>
      </c>
      <c r="D6" s="11"/>
      <c r="E6" s="1"/>
      <c r="F6" s="1"/>
      <c r="G6" s="25" t="s">
        <v>51</v>
      </c>
      <c r="H6" s="37">
        <f>IF(DATE(YEAR($I$3),MONTH(I5),DAY(I5))&lt;=$I$3,YEAR($I$3)-YEAR(I5),YEAR($I$3)-YEAR(I5)-1)</f>
        <v>58</v>
      </c>
      <c r="I6" s="1"/>
      <c r="J6" s="1"/>
      <c r="K6" s="1"/>
      <c r="L6" s="1"/>
      <c r="M6" s="1"/>
    </row>
    <row r="7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</row>
    <row r="8" ht="12.75" customHeight="1">
      <c r="A8" s="1"/>
      <c r="B8" s="1" t="s">
        <v>52</v>
      </c>
      <c r="C8" s="35" t="s">
        <v>53</v>
      </c>
      <c r="D8" s="3"/>
      <c r="E8" s="1"/>
      <c r="F8" s="1"/>
      <c r="G8" s="1"/>
      <c r="H8" s="1"/>
      <c r="I8" s="1"/>
      <c r="J8" s="1"/>
      <c r="K8" s="1"/>
      <c r="L8" s="1"/>
      <c r="M8" s="1"/>
    </row>
    <row r="9" ht="12.75" customHeight="1">
      <c r="A9" s="1"/>
      <c r="B9" s="1" t="s">
        <v>54</v>
      </c>
      <c r="C9" s="35" t="s">
        <v>55</v>
      </c>
      <c r="D9" s="3"/>
      <c r="E9" s="1"/>
      <c r="F9" s="1"/>
      <c r="G9" s="1"/>
      <c r="H9" s="1"/>
      <c r="I9" s="1"/>
      <c r="J9" s="1"/>
      <c r="K9" s="1"/>
      <c r="L9" s="1"/>
      <c r="M9" s="1"/>
    </row>
    <row r="10" ht="12.75" customHeight="1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2.75" customHeight="1">
      <c r="A11" s="1"/>
      <c r="B11" s="1" t="s">
        <v>56</v>
      </c>
      <c r="C11" s="35" t="s">
        <v>57</v>
      </c>
      <c r="D11" s="3"/>
      <c r="E11" s="1"/>
      <c r="F11" s="1"/>
      <c r="G11" s="1"/>
      <c r="H11" s="1"/>
      <c r="I11" s="1"/>
      <c r="J11" s="1"/>
      <c r="K11" s="1"/>
      <c r="L11" s="1"/>
      <c r="M11" s="1"/>
    </row>
    <row r="12" ht="12.75" customHeight="1">
      <c r="A12" s="1"/>
      <c r="B12" s="1" t="s">
        <v>58</v>
      </c>
      <c r="C12" s="38" t="s">
        <v>59</v>
      </c>
      <c r="D12" s="3"/>
      <c r="E12" s="1"/>
      <c r="F12" s="27" t="str">
        <f>IF(OR(C14="organist",C14="cantor-organist"),"","benaming aanstelling onjuist")</f>
        <v/>
      </c>
      <c r="G12" s="1"/>
      <c r="H12" s="1"/>
      <c r="I12" s="1"/>
      <c r="J12" s="1"/>
      <c r="K12" s="1"/>
      <c r="L12" s="1"/>
      <c r="M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12.75" customHeight="1">
      <c r="A14" s="1"/>
      <c r="B14" s="1" t="s">
        <v>60</v>
      </c>
      <c r="C14" s="39" t="s">
        <v>61</v>
      </c>
      <c r="D14" s="3"/>
      <c r="E14" s="1" t="s">
        <v>62</v>
      </c>
      <c r="F14" s="1"/>
      <c r="G14" s="1"/>
      <c r="H14" s="1"/>
      <c r="I14" s="35" t="s">
        <v>63</v>
      </c>
      <c r="J14" s="3"/>
      <c r="K14" s="3"/>
      <c r="L14" s="3"/>
      <c r="M14" s="1"/>
    </row>
    <row r="15" ht="12.75" customHeight="1">
      <c r="A15" s="1"/>
      <c r="B15" s="27" t="str">
        <f>IF(C14="cantor","voor cantor: zie werkblad Cantor","")</f>
        <v/>
      </c>
      <c r="C15" s="1"/>
      <c r="D15" s="1"/>
      <c r="E15" s="1"/>
      <c r="F15" s="1"/>
      <c r="G15" s="8" t="s">
        <v>64</v>
      </c>
      <c r="H15" s="1"/>
      <c r="I15" s="35" t="s">
        <v>65</v>
      </c>
      <c r="J15" s="3"/>
      <c r="K15" s="3"/>
      <c r="L15" s="3"/>
      <c r="M15" s="1"/>
    </row>
    <row r="16" ht="12.75" customHeight="1">
      <c r="A16" s="1"/>
      <c r="B16" s="1"/>
      <c r="C16" s="1"/>
      <c r="D16" s="25"/>
      <c r="E16" s="1"/>
      <c r="F16" s="4"/>
      <c r="G16" s="1"/>
      <c r="H16" s="1"/>
      <c r="I16" s="1"/>
      <c r="J16" s="1"/>
      <c r="K16" s="1"/>
      <c r="L16" s="1"/>
      <c r="M16" s="1"/>
    </row>
    <row r="17" ht="12.75" customHeight="1">
      <c r="A17" s="1"/>
      <c r="B17" s="1" t="s">
        <v>66</v>
      </c>
      <c r="C17" s="5" t="str">
        <f>I15</f>
        <v>Grote Kerk</v>
      </c>
      <c r="D17" s="25"/>
      <c r="E17" s="1" t="s">
        <v>67</v>
      </c>
      <c r="F17" s="4"/>
      <c r="G17" s="1"/>
      <c r="H17" s="1"/>
      <c r="I17" s="7">
        <v>5.0</v>
      </c>
      <c r="J17" s="1" t="s">
        <v>68</v>
      </c>
      <c r="K17" s="1"/>
      <c r="L17" s="1"/>
      <c r="M17" s="1"/>
    </row>
    <row r="18" ht="12.75" customHeight="1">
      <c r="A18" s="1"/>
      <c r="B18" s="1"/>
      <c r="C18" s="1"/>
      <c r="D18" s="25"/>
      <c r="E18" s="1"/>
      <c r="F18" s="4"/>
      <c r="G18" s="25"/>
      <c r="H18" s="1"/>
      <c r="I18" s="37"/>
      <c r="J18" s="1"/>
      <c r="K18" s="1"/>
      <c r="L18" s="1"/>
      <c r="M18" s="1"/>
    </row>
    <row r="19" ht="12.75" customHeight="1">
      <c r="A19" s="1" t="s">
        <v>1</v>
      </c>
      <c r="B19" s="4" t="s">
        <v>69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ht="12.75" customHeight="1">
      <c r="A20" s="1"/>
      <c r="B20" s="1" t="s">
        <v>70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2.75" customHeight="1">
      <c r="A21" s="1"/>
      <c r="B21" s="24" t="s">
        <v>71</v>
      </c>
      <c r="C21" s="7" t="s">
        <v>72</v>
      </c>
      <c r="D21" s="40" t="str">
        <f t="shared" ref="D21:D22" si="1">IF(C21="I","",IF(C21="II","",IF(C21="III","",IF(C21="nvt","","  onjuiste invoer"))))</f>
        <v/>
      </c>
      <c r="E21" s="1"/>
      <c r="F21" s="1"/>
      <c r="G21" s="25" t="s">
        <v>73</v>
      </c>
      <c r="H21" s="33">
        <v>36161.0</v>
      </c>
      <c r="I21" s="3"/>
      <c r="J21" s="3"/>
      <c r="K21" s="1"/>
      <c r="L21" s="1"/>
      <c r="M21" s="1"/>
    </row>
    <row r="22" ht="12.75" customHeight="1">
      <c r="A22" s="1"/>
      <c r="B22" s="24" t="s">
        <v>74</v>
      </c>
      <c r="C22" s="7" t="s">
        <v>75</v>
      </c>
      <c r="D22" s="40" t="str">
        <f t="shared" si="1"/>
        <v/>
      </c>
      <c r="E22" s="1"/>
      <c r="F22" s="1"/>
      <c r="G22" s="25" t="s">
        <v>73</v>
      </c>
      <c r="H22" s="33">
        <v>36526.0</v>
      </c>
      <c r="I22" s="3"/>
      <c r="J22" s="3"/>
      <c r="K22" s="1"/>
      <c r="L22" s="1"/>
      <c r="M22" s="1"/>
    </row>
    <row r="23" ht="12.75" customHeight="1">
      <c r="A23" s="1"/>
      <c r="B23" s="41" t="str">
        <f>IF(OR($C$21="I",$C$21="II",$C$21="III"),"","functieniveau orgel niet juist ingevuld")</f>
        <v/>
      </c>
      <c r="C23" s="1"/>
      <c r="D23" s="42" t="str">
        <f>IF(AND(C21="nvt",C22="nvt"),"welke functie is van toepassing?"," ")</f>
        <v> </v>
      </c>
      <c r="E23" s="1"/>
      <c r="F23" s="1"/>
      <c r="G23" s="1"/>
      <c r="H23" s="1"/>
      <c r="I23" s="1"/>
      <c r="J23" s="1"/>
      <c r="K23" s="1"/>
      <c r="L23" s="1"/>
      <c r="M23" s="1"/>
    </row>
    <row r="24" ht="12.75" customHeight="1">
      <c r="A24" s="1" t="s">
        <v>32</v>
      </c>
      <c r="B24" s="4" t="s">
        <v>76</v>
      </c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</row>
    <row r="25" ht="12.75" customHeight="1">
      <c r="A25" s="1"/>
      <c r="B25" s="1" t="s">
        <v>77</v>
      </c>
      <c r="C25" s="8"/>
      <c r="D25" s="40" t="str">
        <f>IF(C26="I","",IF(C26="II","",IF(C26="III","",IF(C26="geen","","onjuiste invoer orgel"))))</f>
        <v/>
      </c>
      <c r="E25" s="1"/>
      <c r="F25" s="40" t="str">
        <f>IF(C27="I","",IF(C27="II","",IF(C27="III","",IF(C27="geen","","onjuiste invoer cantoraat"))))</f>
        <v/>
      </c>
      <c r="G25" s="1"/>
      <c r="H25" s="1"/>
      <c r="I25" s="1"/>
      <c r="J25" s="28" t="str">
        <f>IF(OR(C26="I",C26="II",C26="III"),IF(I26&gt;I5,IF(I26&lt;I3,"","onjuist"),"datum ligt voor geboortedatum"),IF(C26="geen",IF(I26="nvt","","onjuist"),"onjuist"))</f>
        <v/>
      </c>
      <c r="K25" s="1"/>
      <c r="L25" s="1"/>
      <c r="M25" s="1"/>
    </row>
    <row r="26" ht="12.75" customHeight="1">
      <c r="A26" s="1"/>
      <c r="B26" s="24" t="s">
        <v>71</v>
      </c>
      <c r="C26" s="7" t="s">
        <v>78</v>
      </c>
      <c r="D26" s="1"/>
      <c r="E26" s="25" t="s">
        <v>79</v>
      </c>
      <c r="F26" s="43" t="s">
        <v>80</v>
      </c>
      <c r="G26" s="3"/>
      <c r="H26" s="3"/>
      <c r="I26" s="33">
        <v>25711.0</v>
      </c>
      <c r="J26" s="3"/>
      <c r="K26" s="3"/>
      <c r="L26" s="8"/>
      <c r="M26" s="1"/>
    </row>
    <row r="27" ht="12.75" customHeight="1">
      <c r="A27" s="1"/>
      <c r="B27" s="24" t="s">
        <v>74</v>
      </c>
      <c r="C27" s="7" t="s">
        <v>78</v>
      </c>
      <c r="D27" s="44"/>
      <c r="E27" s="25" t="s">
        <v>79</v>
      </c>
      <c r="F27" s="43" t="s">
        <v>80</v>
      </c>
      <c r="G27" s="3"/>
      <c r="H27" s="3"/>
      <c r="I27" s="33">
        <v>32874.0</v>
      </c>
      <c r="J27" s="3"/>
      <c r="K27" s="3"/>
      <c r="L27" s="1"/>
      <c r="M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28" t="str">
        <f>IF(OR(C27="I",C27="II",C27="III"),IF(I27&gt;I5,IF(I27&lt;I3,"","onjuist"),"datum ligt voor geboortedatum"),IF(C27="geen",IF(I27="nvt","","onjuist"),"onjuist"))</f>
        <v/>
      </c>
      <c r="K28" s="1"/>
      <c r="L28" s="1"/>
      <c r="M28" s="1"/>
    </row>
    <row r="29" ht="12.75" customHeight="1">
      <c r="A29" s="1" t="s">
        <v>81</v>
      </c>
      <c r="B29" s="4" t="s">
        <v>82</v>
      </c>
      <c r="C29" s="1"/>
      <c r="D29" s="1"/>
      <c r="E29" s="1"/>
      <c r="F29" s="1"/>
      <c r="G29" s="1"/>
      <c r="H29" s="1"/>
      <c r="I29" s="1"/>
      <c r="J29" s="1"/>
      <c r="K29" s="28" t="s">
        <v>83</v>
      </c>
      <c r="L29" s="1"/>
      <c r="M29" s="1"/>
    </row>
    <row r="30" ht="12.75" customHeight="1">
      <c r="A30" s="1"/>
      <c r="B30" s="4"/>
      <c r="C30" s="1"/>
      <c r="D30" s="1"/>
      <c r="E30" s="1"/>
      <c r="F30" s="4"/>
      <c r="G30" s="1"/>
      <c r="H30" s="1"/>
      <c r="I30" s="4"/>
      <c r="J30" s="1"/>
      <c r="K30" s="1"/>
      <c r="L30" s="1"/>
      <c r="M30" s="1"/>
    </row>
    <row r="31" ht="16.5" customHeight="1">
      <c r="A31" s="1"/>
      <c r="B31" s="1" t="s">
        <v>84</v>
      </c>
      <c r="C31" s="5" t="str">
        <f>$I$14</f>
        <v>Voorbeeld</v>
      </c>
      <c r="D31" s="1"/>
      <c r="E31" s="40" t="str">
        <f>IF($E$36&gt;0,IF($I$26="nvt","onbevoegd, geen dienstjaren uit vorige betrekkingen mogelijk","" ),"")</f>
        <v/>
      </c>
      <c r="F31" s="1"/>
      <c r="G31" s="1"/>
      <c r="H31" s="1"/>
      <c r="I31" s="1"/>
      <c r="J31" s="1"/>
      <c r="K31" s="1"/>
      <c r="L31" s="1"/>
      <c r="M31" s="1"/>
    </row>
    <row r="32" ht="12.75" customHeight="1">
      <c r="A32" s="1"/>
      <c r="B32" s="1" t="s">
        <v>85</v>
      </c>
      <c r="C32" s="1"/>
      <c r="D32" s="1"/>
      <c r="E32" s="1"/>
      <c r="F32" s="33">
        <v>36526.0</v>
      </c>
      <c r="G32" s="3"/>
      <c r="H32" s="1"/>
      <c r="I32" s="40" t="str">
        <f>IF($H$36&gt;0,IF($I$37="onbev","cantor is onbevoegd, geen dienstjaren uit vorige betrekkingen","" ),"")</f>
        <v/>
      </c>
      <c r="J32" s="8"/>
      <c r="K32" s="1"/>
      <c r="L32" s="45"/>
      <c r="M32" s="1"/>
    </row>
    <row r="33" ht="12.75" customHeight="1">
      <c r="A33" s="1"/>
      <c r="B33" s="1"/>
      <c r="C33" s="27" t="str">
        <f>IF(OR($F$32="nvt",$F$37="onbev",E36=0),"",IF((DAYS360($I$26,$F$32)-($E$36*360-1))&gt;0,"","onjuiste invoer dienstjaren orgel vorige betrekkingen"))</f>
        <v/>
      </c>
      <c r="D33" s="1"/>
      <c r="E33" s="1"/>
      <c r="F33" s="44"/>
      <c r="G33" s="1"/>
      <c r="H33" s="1"/>
      <c r="I33" s="27" t="str">
        <f>IF(F32="nvt","",IF((DAYS360($I$5,$F$32))&gt;0,"","benoemingsdatum is in strijd met geboortedatum"))</f>
        <v/>
      </c>
      <c r="J33" s="1"/>
      <c r="K33" s="40"/>
      <c r="L33" s="45"/>
      <c r="M33" s="1"/>
    </row>
    <row r="34" ht="12.75" customHeight="1">
      <c r="A34" s="1"/>
      <c r="B34" s="1"/>
      <c r="C34" s="1"/>
      <c r="D34" s="27"/>
      <c r="E34" s="1"/>
      <c r="F34" s="27" t="str">
        <f>IF(OR($F$32="nvt",$I$37="onbev",$H$36=0),"",IF((DAYS360($I$27,$F$32)-($H$36*360-1))&gt;0,"","onjuiste invoer dienstjaren cantoraat vorige betrekkingen"))</f>
        <v/>
      </c>
      <c r="G34" s="1"/>
      <c r="H34" s="1"/>
      <c r="I34" s="4"/>
      <c r="J34" s="1"/>
      <c r="K34" s="40"/>
      <c r="L34" s="45"/>
      <c r="M34" s="1"/>
    </row>
    <row r="35" ht="12.75" customHeight="1">
      <c r="A35" s="1"/>
      <c r="B35" s="1"/>
      <c r="C35" s="1"/>
      <c r="D35" s="27"/>
      <c r="E35" s="1"/>
      <c r="F35" s="46" t="s">
        <v>86</v>
      </c>
      <c r="G35" s="3"/>
      <c r="H35" s="1"/>
      <c r="I35" s="29" t="s">
        <v>87</v>
      </c>
      <c r="J35" s="3"/>
      <c r="K35" s="1"/>
      <c r="L35" s="45"/>
      <c r="M35" s="1"/>
    </row>
    <row r="36" ht="12.75" customHeight="1">
      <c r="A36" s="1"/>
      <c r="B36" s="1" t="s">
        <v>88</v>
      </c>
      <c r="C36" s="1"/>
      <c r="D36" s="1"/>
      <c r="E36" s="7">
        <v>10.0</v>
      </c>
      <c r="F36" s="47">
        <f>IF(OR($C$26="geen",$I$26="nvt"),0,IF((DAYS360($I$26,$F$32)-($E$36*360-1))&gt;0,$E$36,0))</f>
        <v>10</v>
      </c>
      <c r="G36" s="3"/>
      <c r="H36" s="7">
        <v>0.0</v>
      </c>
      <c r="I36" s="47">
        <f>IF(OR($C$27="geen",$I$27="nvt"),0,IF((DAYS360($I$27,$F$32)-($H$36*360-1))&gt;0,$H$36,0))</f>
        <v>0</v>
      </c>
      <c r="J36" s="3"/>
      <c r="K36" s="1"/>
      <c r="L36" s="1"/>
      <c r="M36" s="1"/>
    </row>
    <row r="37" ht="12.75" customHeight="1">
      <c r="A37" s="1"/>
      <c r="B37" s="1" t="s">
        <v>89</v>
      </c>
      <c r="C37" s="1"/>
      <c r="D37" s="8"/>
      <c r="E37" s="1"/>
      <c r="F37" s="47">
        <f>IF($I$26="nvt","onbev",IF($F$26="nvt",0,IF($F$32&gt;$I$26,ROUNDDOWN(($I$3-$F$32)/365,0),IF($I$3&gt;$I$26,ROUNDDOWN(($I$3-$I$26)/365,0),0))))</f>
        <v>8</v>
      </c>
      <c r="G37" s="3"/>
      <c r="H37" s="1"/>
      <c r="I37" s="47">
        <f>IF($I$27="nvt","onbev",IF($F$27="nvt",0,IF($F$32&gt;$I$27,ROUNDDOWN(($I$3-$F$32)/365,0),IF($I$3&gt;$I$27,ROUNDDOWN(($I$3-$I$27)/365,0),0))))</f>
        <v>8</v>
      </c>
      <c r="J37" s="3"/>
      <c r="K37" s="1"/>
      <c r="L37" s="1"/>
      <c r="M37" s="6"/>
    </row>
    <row r="38" ht="12.75" customHeight="1">
      <c r="A38" s="1"/>
      <c r="B38" s="1"/>
      <c r="C38" s="6"/>
      <c r="D38" s="48" t="s">
        <v>90</v>
      </c>
      <c r="E38" s="1"/>
      <c r="F38" s="47">
        <f>IF($F$37="onbev",0,($F$36+$F$37))</f>
        <v>18</v>
      </c>
      <c r="G38" s="3"/>
      <c r="H38" s="1"/>
      <c r="I38" s="47">
        <f>IF($I$37="onbev",0,($I$36+$I$37))</f>
        <v>8</v>
      </c>
      <c r="J38" s="3"/>
      <c r="K38" s="1"/>
      <c r="L38" s="27"/>
      <c r="M38" s="1"/>
    </row>
    <row r="39" ht="12.75" customHeight="1">
      <c r="A39" s="1"/>
      <c r="B39" s="1"/>
      <c r="C39" s="6"/>
      <c r="D39" s="48" t="s">
        <v>91</v>
      </c>
      <c r="E39" s="1"/>
      <c r="F39" s="49">
        <f>IF($C$21="III",IF($F$38&gt;10,10,$F$38),IF($F$38&gt;9,"10",$F$38))</f>
        <v>10</v>
      </c>
      <c r="G39" s="50"/>
      <c r="H39" s="1"/>
      <c r="I39" s="49">
        <f>IF($C$22="III",IF($I$38&gt;10,10,$I$38),IF($I$38&gt;9,"10",$I$38))</f>
        <v>8</v>
      </c>
      <c r="J39" s="50"/>
      <c r="K39" s="1"/>
      <c r="L39" s="1"/>
      <c r="M39" s="1"/>
    </row>
    <row r="40" ht="12.75" customHeight="1">
      <c r="A40" s="1"/>
      <c r="B40" s="4"/>
      <c r="C40" s="6"/>
      <c r="D40" s="51"/>
      <c r="E40" s="1"/>
      <c r="F40" s="6"/>
      <c r="G40" s="1"/>
      <c r="H40" s="1"/>
      <c r="I40" s="6"/>
      <c r="J40" s="1"/>
      <c r="K40" s="1"/>
      <c r="L40" s="1"/>
      <c r="M40" s="1"/>
    </row>
    <row r="41" ht="12.75" customHeight="1">
      <c r="A41" s="1"/>
      <c r="B41" s="1"/>
      <c r="C41" s="6"/>
      <c r="D41" s="51"/>
      <c r="E41" s="25" t="s">
        <v>92</v>
      </c>
      <c r="F41" s="47" t="str">
        <f>IF($C$26=$C$21,$C$21,IF($C$26&lt;$C$21,$C$21,IF(AND($C$26&gt;$C$21,$F$39&gt;2),IF($C$26="III",$C$21,$C$26),$C$21)))</f>
        <v>iii</v>
      </c>
      <c r="G41" s="3"/>
      <c r="H41" s="25"/>
      <c r="I41" s="47" t="str">
        <f>IF($C$27=$C$22,$C$22,IF($C$27&lt;$C$22,$C$22,IF(AND($C$27&gt;$C$22,$I$39&gt;2),IF($C$27="III",$C$22,$C$27),$C$22)))</f>
        <v>II</v>
      </c>
      <c r="J41" s="3"/>
      <c r="K41" s="1"/>
      <c r="L41" s="8"/>
      <c r="M41" s="1"/>
    </row>
    <row r="42" ht="12.75" customHeight="1">
      <c r="A42" s="1"/>
      <c r="B42" s="1"/>
      <c r="C42" s="6"/>
      <c r="D42" s="1"/>
      <c r="E42" s="48" t="s">
        <v>93</v>
      </c>
      <c r="F42" s="47">
        <f>IF($C$26=$C$21,$F$39,IF($C$26&lt;$C$21,$F$39,IF(AND($C$26&gt;$C$21,$F$39&gt;2),IF($C$26="III",0,$F$39),0)))</f>
        <v>10</v>
      </c>
      <c r="G42" s="3"/>
      <c r="H42" s="48"/>
      <c r="I42" s="47">
        <f>IF($C$27=$C$22,$I$39,IF($C$27&lt;$C$22,$I$39,IF(AND($C$27&gt;$C$22,$I$39&gt;2),IF($C$27="III",0,$I$39),0)))</f>
        <v>8</v>
      </c>
      <c r="J42" s="3"/>
      <c r="K42" s="1"/>
      <c r="L42" s="8"/>
      <c r="M42" s="6"/>
    </row>
    <row r="43" ht="12.75" customHeight="1">
      <c r="A43" s="1"/>
      <c r="B43" s="1"/>
      <c r="C43" s="1"/>
      <c r="D43" s="1"/>
      <c r="E43" s="48" t="s">
        <v>94</v>
      </c>
      <c r="F43" s="47" t="str">
        <f>CONCATENATE(F41,".",F42)</f>
        <v>iii.10</v>
      </c>
      <c r="G43" s="3"/>
      <c r="H43" s="48"/>
      <c r="I43" s="47" t="str">
        <f>CONCATENATE(I41,".",I42)</f>
        <v>II.8</v>
      </c>
      <c r="J43" s="3"/>
      <c r="K43" s="1"/>
      <c r="L43" s="1"/>
      <c r="M43" s="6"/>
    </row>
    <row r="44" ht="12.75" customHeight="1">
      <c r="A44" s="1"/>
      <c r="B44" s="1"/>
      <c r="C44" s="6"/>
      <c r="D44" s="51"/>
      <c r="E44" s="1"/>
      <c r="F44" s="6"/>
      <c r="G44" s="1"/>
      <c r="H44" s="1"/>
      <c r="I44" s="6"/>
      <c r="J44" s="1"/>
      <c r="K44" s="1"/>
      <c r="L44" s="1"/>
      <c r="M44" s="1"/>
    </row>
    <row r="45" ht="12.75" customHeight="1">
      <c r="A45" s="1"/>
      <c r="B45" s="1" t="s">
        <v>95</v>
      </c>
      <c r="C45" s="6"/>
      <c r="D45" s="51"/>
      <c r="E45" s="1"/>
      <c r="F45" s="52">
        <f>IF($F$32="nvt",0,VLOOKUP($F$43,Salaristabellen!A8:H46,8,FALSE))</f>
        <v>1.335528205</v>
      </c>
      <c r="G45" s="53"/>
      <c r="H45" s="1"/>
      <c r="I45" s="52">
        <f>IF(OR($F$32="nvt",$C$14="organist"),0,VLOOKUP($I$43,Salaristabellen!A8:H46,8,FALSE))</f>
        <v>2.536136538</v>
      </c>
      <c r="J45" s="53"/>
      <c r="K45" s="1"/>
      <c r="L45" s="1"/>
      <c r="M45" s="1"/>
    </row>
    <row r="46" ht="12.75" customHeight="1">
      <c r="A46" s="1"/>
      <c r="B46" s="1" t="s">
        <v>96</v>
      </c>
      <c r="C46" s="6"/>
      <c r="D46" s="51"/>
      <c r="E46" s="1"/>
      <c r="F46" s="54">
        <f>IF($F$32="nvt",0,VLOOKUP($F$43,Salaristabellen!A8:H46,2,FALSE)*12/(52*36))</f>
        <v>19.07897436</v>
      </c>
      <c r="G46" s="55"/>
      <c r="H46" s="1"/>
      <c r="I46" s="54">
        <f>IF(OR($F$32="nvt",$C$14="organist"),0,VLOOKUP($I$43,Salaristabellen!A8:H46,2,FALSE)*12/(52*36))</f>
        <v>28.17929487</v>
      </c>
      <c r="J46" s="55"/>
      <c r="K46" s="1"/>
      <c r="L46" s="1"/>
      <c r="M46" s="1"/>
    </row>
    <row r="47" ht="12.75" customHeight="1">
      <c r="A47" s="1"/>
      <c r="B47" s="1"/>
      <c r="C47" s="6"/>
      <c r="D47" s="51"/>
      <c r="E47" s="1"/>
      <c r="F47" s="1" t="str">
        <f>Salaristabellen!$G$1</f>
        <v>(salarisschalen per 1 januari 2024)</v>
      </c>
      <c r="G47" s="1"/>
      <c r="H47" s="1"/>
      <c r="I47" s="51"/>
      <c r="J47" s="8"/>
      <c r="K47" s="1"/>
      <c r="L47" s="8"/>
      <c r="M47" s="1"/>
    </row>
    <row r="48" ht="12.75" customHeight="1">
      <c r="A48" s="1"/>
      <c r="B48" s="1"/>
      <c r="C48" s="6"/>
      <c r="D48" s="51"/>
      <c r="E48" s="1"/>
      <c r="F48" s="1"/>
      <c r="G48" s="1"/>
      <c r="H48" s="1"/>
      <c r="I48" s="51"/>
      <c r="J48" s="8"/>
      <c r="K48" s="1"/>
      <c r="L48" s="8"/>
      <c r="M48" s="1"/>
    </row>
    <row r="49" ht="12.75" customHeight="1">
      <c r="A49" s="1" t="s">
        <v>97</v>
      </c>
      <c r="B49" s="4" t="s">
        <v>98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ht="12.75" customHeight="1">
      <c r="A50" s="1"/>
      <c r="B50" s="1"/>
      <c r="C50" s="1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ht="12.75" customHeight="1">
      <c r="A51" s="1"/>
      <c r="B51" s="56" t="s">
        <v>99</v>
      </c>
      <c r="C51" s="57" t="str">
        <f>C14</f>
        <v>cantor-organist</v>
      </c>
      <c r="D51" s="58"/>
      <c r="E51" s="59" t="s">
        <v>100</v>
      </c>
      <c r="F51" s="60" t="s">
        <v>101</v>
      </c>
      <c r="G51" s="61" t="s">
        <v>102</v>
      </c>
      <c r="H51" s="62"/>
      <c r="I51" s="49" t="s">
        <v>103</v>
      </c>
      <c r="J51" s="50"/>
      <c r="K51" s="1"/>
      <c r="L51" s="1"/>
      <c r="M51" s="1"/>
    </row>
    <row r="52" ht="12.75" customHeight="1">
      <c r="A52" s="1"/>
      <c r="B52" s="63" t="s">
        <v>104</v>
      </c>
      <c r="C52" s="64"/>
      <c r="D52" s="65"/>
      <c r="E52" s="8"/>
      <c r="F52" s="66"/>
      <c r="G52" s="67" t="s">
        <v>105</v>
      </c>
      <c r="H52" s="68" t="s">
        <v>106</v>
      </c>
      <c r="I52" s="69"/>
      <c r="J52" s="70"/>
      <c r="K52" s="1"/>
      <c r="L52" s="1"/>
      <c r="M52" s="1"/>
    </row>
    <row r="53" ht="12.75" customHeight="1">
      <c r="A53" s="1"/>
      <c r="B53" s="71" t="s">
        <v>107</v>
      </c>
      <c r="C53" s="72"/>
      <c r="D53" s="73"/>
      <c r="E53" s="8"/>
      <c r="F53" s="74">
        <f>Verdeling!$F$30</f>
        <v>60</v>
      </c>
      <c r="G53" s="8"/>
      <c r="H53" s="68"/>
      <c r="I53" s="8"/>
      <c r="J53" s="75"/>
      <c r="K53" s="1"/>
      <c r="L53" s="1"/>
      <c r="M53" s="1"/>
    </row>
    <row r="54" ht="12.75" customHeight="1">
      <c r="A54" s="1"/>
      <c r="B54" s="71" t="s">
        <v>108</v>
      </c>
      <c r="C54" s="21" t="str">
        <f>C5</f>
        <v>H.A.Licht</v>
      </c>
      <c r="D54" s="76"/>
      <c r="E54" s="8">
        <v>30.0</v>
      </c>
      <c r="F54" s="77">
        <f>IF(I17=1,Verdeling!$F$30,Verdeling!$M$34)</f>
        <v>50</v>
      </c>
      <c r="G54" s="78">
        <f>F54*E54/52</f>
        <v>28.84615385</v>
      </c>
      <c r="H54" s="74"/>
      <c r="I54" s="47"/>
      <c r="J54" s="76"/>
      <c r="K54" s="1"/>
      <c r="L54" s="1"/>
      <c r="M54" s="1"/>
    </row>
    <row r="55" ht="12.75" customHeight="1">
      <c r="A55" s="1"/>
      <c r="B55" s="71" t="s">
        <v>109</v>
      </c>
      <c r="C55" s="1"/>
      <c r="D55" s="75"/>
      <c r="E55" s="8">
        <v>5.0</v>
      </c>
      <c r="F55" s="79">
        <v>5.0</v>
      </c>
      <c r="G55" s="78">
        <f>IF(AND($I$17=1,F53&gt;52),F55,F55*F54/52)</f>
        <v>4.807692308</v>
      </c>
      <c r="H55" s="77"/>
      <c r="I55" s="47"/>
      <c r="J55" s="76"/>
      <c r="K55" s="1"/>
      <c r="L55" s="1"/>
      <c r="M55" s="1"/>
    </row>
    <row r="56" ht="12.75" customHeight="1">
      <c r="A56" s="1"/>
      <c r="B56" s="71" t="s">
        <v>110</v>
      </c>
      <c r="C56" s="1"/>
      <c r="D56" s="75"/>
      <c r="E56" s="8" t="s">
        <v>111</v>
      </c>
      <c r="F56" s="79">
        <v>5.0</v>
      </c>
      <c r="G56" s="78">
        <f>IF(AND($I$17=1,F53&gt;52),F56,F56*F54/52)</f>
        <v>4.807692308</v>
      </c>
      <c r="H56" s="74"/>
      <c r="I56" s="47"/>
      <c r="J56" s="76"/>
      <c r="K56" s="1"/>
      <c r="L56" s="1"/>
      <c r="M56" s="1"/>
    </row>
    <row r="57" ht="12.75" customHeight="1">
      <c r="A57" s="1"/>
      <c r="B57" s="71" t="s">
        <v>112</v>
      </c>
      <c r="C57" s="1"/>
      <c r="D57" s="75"/>
      <c r="E57" s="8">
        <v>30.0</v>
      </c>
      <c r="F57" s="79">
        <v>0.0</v>
      </c>
      <c r="G57" s="78"/>
      <c r="H57" s="77">
        <f>IF(C14="organist",0,F57*E57)</f>
        <v>0</v>
      </c>
      <c r="I57" s="47"/>
      <c r="J57" s="76"/>
      <c r="K57" s="1"/>
      <c r="L57" s="1"/>
      <c r="M57" s="1"/>
    </row>
    <row r="58" ht="12.75" customHeight="1">
      <c r="A58" s="1"/>
      <c r="B58" s="71" t="s">
        <v>113</v>
      </c>
      <c r="C58" s="1"/>
      <c r="D58" s="75"/>
      <c r="E58" s="8">
        <v>185.0</v>
      </c>
      <c r="F58" s="79">
        <v>0.0</v>
      </c>
      <c r="G58" s="78">
        <f t="shared" ref="G58:G59" si="2">F58*E58/52</f>
        <v>0</v>
      </c>
      <c r="H58" s="80"/>
      <c r="I58" s="6"/>
      <c r="J58" s="75"/>
      <c r="K58" s="1"/>
      <c r="L58" s="1"/>
      <c r="M58" s="1"/>
    </row>
    <row r="59" ht="12.75" customHeight="1">
      <c r="A59" s="1"/>
      <c r="B59" s="71" t="s">
        <v>114</v>
      </c>
      <c r="C59" s="1"/>
      <c r="D59" s="75"/>
      <c r="E59" s="8">
        <v>40.0</v>
      </c>
      <c r="F59" s="79">
        <v>0.0</v>
      </c>
      <c r="G59" s="78">
        <f t="shared" si="2"/>
        <v>0</v>
      </c>
      <c r="H59" s="74"/>
      <c r="I59" s="6"/>
      <c r="J59" s="75"/>
      <c r="K59" s="1"/>
      <c r="L59" s="1"/>
      <c r="M59" s="1"/>
    </row>
    <row r="60" ht="12.75" customHeight="1">
      <c r="A60" s="1"/>
      <c r="B60" s="71" t="s">
        <v>115</v>
      </c>
      <c r="C60" s="1"/>
      <c r="D60" s="75"/>
      <c r="E60" s="8"/>
      <c r="F60" s="77"/>
      <c r="G60" s="78"/>
      <c r="H60" s="74"/>
      <c r="I60" s="47"/>
      <c r="J60" s="76"/>
      <c r="K60" s="1"/>
      <c r="L60" s="1"/>
      <c r="M60" s="1"/>
    </row>
    <row r="61" ht="12.75" customHeight="1">
      <c r="A61" s="1"/>
      <c r="B61" s="81" t="s">
        <v>116</v>
      </c>
      <c r="C61" s="3"/>
      <c r="D61" s="76"/>
      <c r="E61" s="1"/>
      <c r="F61" s="79"/>
      <c r="G61" s="82"/>
      <c r="H61" s="83"/>
      <c r="I61" s="84" t="str">
        <f t="shared" ref="I61:I63" si="3">F61</f>
        <v/>
      </c>
      <c r="J61" s="76"/>
      <c r="K61" s="1"/>
      <c r="L61" s="1"/>
      <c r="M61" s="1"/>
    </row>
    <row r="62" ht="12.75" customHeight="1">
      <c r="A62" s="1"/>
      <c r="B62" s="81" t="s">
        <v>116</v>
      </c>
      <c r="C62" s="3"/>
      <c r="D62" s="76"/>
      <c r="E62" s="8"/>
      <c r="F62" s="79">
        <v>0.0</v>
      </c>
      <c r="G62" s="78"/>
      <c r="H62" s="74"/>
      <c r="I62" s="84">
        <f t="shared" si="3"/>
        <v>0</v>
      </c>
      <c r="J62" s="76"/>
      <c r="K62" s="1"/>
      <c r="L62" s="1"/>
      <c r="M62" s="1"/>
    </row>
    <row r="63" ht="12.75" customHeight="1">
      <c r="A63" s="1"/>
      <c r="B63" s="81" t="s">
        <v>116</v>
      </c>
      <c r="C63" s="3"/>
      <c r="D63" s="76"/>
      <c r="E63" s="8"/>
      <c r="F63" s="79"/>
      <c r="G63" s="78"/>
      <c r="H63" s="74"/>
      <c r="I63" s="84" t="str">
        <f t="shared" si="3"/>
        <v/>
      </c>
      <c r="J63" s="76"/>
      <c r="K63" s="1"/>
      <c r="L63" s="1"/>
      <c r="M63" s="1"/>
    </row>
    <row r="64" ht="12.75" customHeight="1">
      <c r="A64" s="1"/>
      <c r="B64" s="81" t="s">
        <v>116</v>
      </c>
      <c r="C64" s="3"/>
      <c r="D64" s="76"/>
      <c r="E64" s="8"/>
      <c r="F64" s="79"/>
      <c r="G64" s="78"/>
      <c r="H64" s="74"/>
      <c r="I64" s="78"/>
      <c r="J64" s="85"/>
      <c r="K64" s="1"/>
      <c r="L64" s="1"/>
      <c r="M64" s="1"/>
    </row>
    <row r="65" ht="12.75" customHeight="1">
      <c r="A65" s="1"/>
      <c r="B65" s="86" t="s">
        <v>117</v>
      </c>
      <c r="C65" s="3"/>
      <c r="D65" s="76"/>
      <c r="E65" s="8"/>
      <c r="F65" s="77"/>
      <c r="G65" s="78"/>
      <c r="H65" s="74"/>
      <c r="I65" s="78"/>
      <c r="J65" s="85"/>
      <c r="K65" s="1"/>
      <c r="L65" s="1"/>
      <c r="M65" s="1"/>
    </row>
    <row r="66" ht="12.75" customHeight="1">
      <c r="A66" s="1"/>
      <c r="B66" s="81" t="s">
        <v>116</v>
      </c>
      <c r="C66" s="3"/>
      <c r="D66" s="76"/>
      <c r="E66" s="8"/>
      <c r="F66" s="79">
        <v>1.0</v>
      </c>
      <c r="G66" s="78"/>
      <c r="H66" s="74"/>
      <c r="I66" s="84">
        <f t="shared" ref="I66:I68" si="4">F66/52</f>
        <v>0.01923076923</v>
      </c>
      <c r="J66" s="76"/>
      <c r="K66" s="1"/>
      <c r="L66" s="1"/>
      <c r="M66" s="1"/>
    </row>
    <row r="67" ht="12.75" customHeight="1">
      <c r="A67" s="1"/>
      <c r="B67" s="81" t="s">
        <v>116</v>
      </c>
      <c r="C67" s="3"/>
      <c r="D67" s="76"/>
      <c r="E67" s="8"/>
      <c r="F67" s="79"/>
      <c r="G67" s="78"/>
      <c r="H67" s="74"/>
      <c r="I67" s="84">
        <f t="shared" si="4"/>
        <v>0</v>
      </c>
      <c r="J67" s="76"/>
      <c r="K67" s="1"/>
      <c r="L67" s="1"/>
      <c r="M67" s="1"/>
    </row>
    <row r="68" ht="12.75" customHeight="1">
      <c r="A68" s="1"/>
      <c r="B68" s="87" t="s">
        <v>116</v>
      </c>
      <c r="C68" s="88"/>
      <c r="D68" s="55"/>
      <c r="E68" s="18"/>
      <c r="F68" s="89"/>
      <c r="G68" s="78"/>
      <c r="H68" s="90"/>
      <c r="I68" s="91">
        <f t="shared" si="4"/>
        <v>0</v>
      </c>
      <c r="J68" s="55"/>
      <c r="K68" s="1"/>
      <c r="L68" s="1"/>
      <c r="M68" s="1"/>
    </row>
    <row r="69" ht="12.75" customHeight="1">
      <c r="A69" s="1"/>
      <c r="B69" s="92" t="s">
        <v>118</v>
      </c>
      <c r="C69" s="18"/>
      <c r="D69" s="18"/>
      <c r="E69" s="18"/>
      <c r="F69" s="93"/>
      <c r="G69" s="94">
        <f t="shared" ref="G69:I69" si="5">SUM(G54:G68)</f>
        <v>38.46153846</v>
      </c>
      <c r="H69" s="95">
        <f t="shared" si="5"/>
        <v>0</v>
      </c>
      <c r="I69" s="96">
        <f t="shared" si="5"/>
        <v>0.01923076923</v>
      </c>
      <c r="J69" s="50"/>
      <c r="K69" s="1"/>
      <c r="L69" s="1"/>
      <c r="M69" s="1"/>
    </row>
    <row r="70" ht="12.75" customHeight="1">
      <c r="A70" s="1"/>
      <c r="B70" s="1"/>
      <c r="C70" s="1"/>
      <c r="D70" s="1"/>
      <c r="E70" s="1"/>
      <c r="F70" s="1"/>
      <c r="G70" s="78"/>
      <c r="H70" s="78"/>
      <c r="I70" s="78"/>
      <c r="J70" s="82"/>
      <c r="K70" s="1"/>
      <c r="L70" s="1"/>
      <c r="M70" s="1"/>
    </row>
    <row r="71" ht="12.75" customHeight="1">
      <c r="A71" s="1"/>
      <c r="B71" s="1"/>
      <c r="C71" s="1"/>
      <c r="D71" s="1"/>
      <c r="E71" s="1"/>
      <c r="F71" s="1"/>
      <c r="G71" s="97" t="s">
        <v>119</v>
      </c>
      <c r="H71" s="97" t="s">
        <v>120</v>
      </c>
      <c r="I71" s="98" t="s">
        <v>121</v>
      </c>
      <c r="J71" s="50"/>
      <c r="K71" s="1"/>
      <c r="L71" s="1"/>
      <c r="M71" s="1"/>
    </row>
    <row r="72" ht="12.75" customHeight="1">
      <c r="A72" s="1"/>
      <c r="B72" s="56" t="s">
        <v>122</v>
      </c>
      <c r="C72" s="99"/>
      <c r="D72" s="99"/>
      <c r="E72" s="99"/>
      <c r="F72" s="99"/>
      <c r="G72" s="100">
        <f>IF($F$41="III",0.07*$G$69,0.09*$G$69)</f>
        <v>2.692307692</v>
      </c>
      <c r="H72" s="100">
        <f>IF($I$41="III",0.07*$H$69,0.09*$H$69)</f>
        <v>0</v>
      </c>
      <c r="I72" s="101">
        <f>$I$69</f>
        <v>0.01923076923</v>
      </c>
      <c r="J72" s="50"/>
      <c r="K72" s="1"/>
      <c r="L72" s="1"/>
      <c r="M72" s="1"/>
    </row>
    <row r="73" ht="12.75" customHeight="1">
      <c r="A73" s="1"/>
      <c r="B73" s="56" t="s">
        <v>123</v>
      </c>
      <c r="C73" s="99"/>
      <c r="D73" s="99"/>
      <c r="E73" s="99"/>
      <c r="F73" s="99"/>
      <c r="G73" s="102">
        <f>$G$72+$H$72+$I$72</f>
        <v>2.711538462</v>
      </c>
      <c r="H73" s="103"/>
      <c r="I73" s="103"/>
      <c r="J73" s="50"/>
      <c r="K73" s="1"/>
      <c r="L73" s="1"/>
      <c r="M73" s="1"/>
    </row>
    <row r="74" ht="12.75" customHeight="1">
      <c r="A74" s="1"/>
      <c r="B74" s="1"/>
      <c r="C74" s="1"/>
      <c r="D74" s="1"/>
      <c r="E74" s="1"/>
      <c r="F74" s="1"/>
      <c r="G74" s="78"/>
      <c r="H74" s="6"/>
      <c r="I74" s="6"/>
      <c r="J74" s="6"/>
      <c r="K74" s="1"/>
      <c r="L74" s="1"/>
      <c r="M74" s="1"/>
    </row>
    <row r="75" ht="12.75" customHeight="1">
      <c r="A75" s="1" t="s">
        <v>124</v>
      </c>
      <c r="B75" s="4" t="s">
        <v>125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ht="12.75" customHeight="1">
      <c r="A77" s="1"/>
      <c r="B77" s="1" t="s">
        <v>126</v>
      </c>
      <c r="C77" s="104" t="str">
        <f>C5</f>
        <v>H.A.Licht</v>
      </c>
      <c r="D77" s="3"/>
      <c r="E77" s="1" t="s">
        <v>127</v>
      </c>
      <c r="F77" s="1"/>
      <c r="G77" s="1"/>
      <c r="H77" s="1"/>
      <c r="I77" s="1"/>
      <c r="J77" s="1"/>
      <c r="K77" s="1"/>
      <c r="L77" s="1"/>
      <c r="M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ht="12.75" customHeight="1">
      <c r="A80" s="1"/>
      <c r="B80" s="1" t="s">
        <v>128</v>
      </c>
      <c r="C80" s="82">
        <f>$G$69</f>
        <v>38.46153846</v>
      </c>
      <c r="D80" s="8" t="s">
        <v>129</v>
      </c>
      <c r="E80" s="105">
        <f>$F$45</f>
        <v>1.335528205</v>
      </c>
      <c r="F80" s="3"/>
      <c r="G80" s="1"/>
      <c r="H80" s="106" t="s">
        <v>130</v>
      </c>
      <c r="I80" s="107">
        <f t="shared" ref="I80:I82" si="6">C80*E80</f>
        <v>51.36646943</v>
      </c>
      <c r="J80" s="3"/>
      <c r="K80" s="1"/>
      <c r="L80" s="1"/>
      <c r="M80" s="1"/>
    </row>
    <row r="81" ht="12.75" customHeight="1">
      <c r="A81" s="1"/>
      <c r="B81" s="1" t="s">
        <v>131</v>
      </c>
      <c r="C81" s="82">
        <f>$H$69</f>
        <v>0</v>
      </c>
      <c r="D81" s="8" t="s">
        <v>129</v>
      </c>
      <c r="E81" s="108">
        <f>$I$45</f>
        <v>2.536136538</v>
      </c>
      <c r="F81" s="3"/>
      <c r="G81" s="1"/>
      <c r="H81" s="106" t="s">
        <v>130</v>
      </c>
      <c r="I81" s="107">
        <f t="shared" si="6"/>
        <v>0</v>
      </c>
      <c r="J81" s="3"/>
      <c r="K81" s="1"/>
      <c r="L81" s="1"/>
      <c r="M81" s="1"/>
    </row>
    <row r="82" ht="12.75" customHeight="1">
      <c r="A82" s="1"/>
      <c r="B82" s="1" t="s">
        <v>132</v>
      </c>
      <c r="C82" s="82">
        <f>$I$69</f>
        <v>0.01923076923</v>
      </c>
      <c r="D82" s="8" t="s">
        <v>129</v>
      </c>
      <c r="E82" s="108">
        <f>IF($I$69=0,0,$F$46)</f>
        <v>19.07897436</v>
      </c>
      <c r="F82" s="3"/>
      <c r="G82" s="1"/>
      <c r="H82" s="106" t="s">
        <v>130</v>
      </c>
      <c r="I82" s="107">
        <f t="shared" si="6"/>
        <v>0.3669033531</v>
      </c>
      <c r="J82" s="3"/>
      <c r="K82" s="1"/>
      <c r="L82" s="1"/>
      <c r="M82" s="1"/>
    </row>
    <row r="83" ht="12.75" customHeight="1">
      <c r="A83" s="1"/>
      <c r="B83" s="1"/>
      <c r="C83" s="1"/>
      <c r="D83" s="1"/>
      <c r="E83" s="1"/>
      <c r="F83" s="1"/>
      <c r="G83" s="1"/>
      <c r="H83" s="25" t="s">
        <v>133</v>
      </c>
      <c r="I83" s="107">
        <f>SUM(I80:I82)</f>
        <v>51.73337278</v>
      </c>
      <c r="J83" s="3"/>
      <c r="K83" s="1"/>
      <c r="L83" s="1"/>
      <c r="M83" s="1"/>
    </row>
    <row r="84" ht="12.75" customHeight="1">
      <c r="A84" s="1"/>
      <c r="B84" s="1"/>
      <c r="C84" s="6"/>
      <c r="D84" s="1"/>
      <c r="E84" s="1"/>
      <c r="F84" s="1"/>
      <c r="G84" s="1"/>
      <c r="H84" s="109"/>
      <c r="I84" s="3"/>
      <c r="J84" s="109"/>
      <c r="K84" s="3"/>
      <c r="L84" s="1"/>
      <c r="M84" s="1"/>
    </row>
    <row r="85" ht="12.75" customHeight="1">
      <c r="A85" s="1"/>
      <c r="B85" s="1"/>
      <c r="C85" s="1"/>
      <c r="D85" s="1"/>
      <c r="E85" s="1"/>
      <c r="F85" s="1"/>
      <c r="G85" s="25"/>
      <c r="H85" s="107"/>
      <c r="I85" s="3"/>
      <c r="J85" s="107"/>
      <c r="K85" s="3"/>
      <c r="L85" s="1"/>
      <c r="M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ht="12.75" customHeight="1">
      <c r="A87" s="1"/>
      <c r="B87" s="1"/>
      <c r="C87" s="110" t="s">
        <v>134</v>
      </c>
      <c r="D87" s="111" t="s">
        <v>135</v>
      </c>
      <c r="E87" s="112" t="s">
        <v>136</v>
      </c>
      <c r="F87" s="53"/>
      <c r="G87" s="47"/>
      <c r="H87" s="3"/>
      <c r="I87" s="4"/>
      <c r="J87" s="1"/>
      <c r="K87" s="1"/>
      <c r="L87" s="6"/>
      <c r="M87" s="1"/>
    </row>
    <row r="88" ht="12.75" customHeight="1">
      <c r="A88" s="1"/>
      <c r="B88" s="1"/>
      <c r="C88" s="113">
        <f>$I$83*52/12</f>
        <v>224.1779487</v>
      </c>
      <c r="D88" s="114">
        <f>$C$88*12</f>
        <v>2690.135385</v>
      </c>
      <c r="E88" s="115">
        <f>$G$73/36</f>
        <v>0.07532051282</v>
      </c>
      <c r="F88" s="55"/>
      <c r="G88" s="116"/>
      <c r="H88" s="3"/>
      <c r="I88" s="1"/>
      <c r="J88" s="1"/>
      <c r="K88" s="1"/>
      <c r="L88" s="1"/>
      <c r="M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05"/>
      <c r="K89" s="3"/>
      <c r="L89" s="1"/>
      <c r="M89" s="1"/>
    </row>
    <row r="90" ht="12.75" customHeight="1">
      <c r="A90" s="1"/>
      <c r="B90" s="27" t="str">
        <f>IF($F$54=0,"Geen diensten toegewezen",IF(Verdeling!$M$46=Verdeling!$F$30,"","Diensten niet juist verdeeld. Zie blad 'Verdeling'"))</f>
        <v/>
      </c>
      <c r="C90" s="1"/>
      <c r="D90" s="1"/>
      <c r="E90" s="1"/>
      <c r="F90" s="117" t="str">
        <f>IF(OR(Cantor!$F$53&gt;4,('KM1'!$F$55+'KM2'!$F$55+'KM3'!$F$55+'KM4'!$F$55+'KM5'!$F$55)&gt;4),"","vorming is onjuist ingevuld")</f>
        <v/>
      </c>
      <c r="G90" s="1"/>
      <c r="H90" s="1"/>
      <c r="I90" s="1"/>
      <c r="J90" s="1"/>
      <c r="K90" s="1"/>
      <c r="L90" s="1"/>
      <c r="M90" s="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0">
    <mergeCell ref="B65:D65"/>
    <mergeCell ref="B66:D66"/>
    <mergeCell ref="B67:D67"/>
    <mergeCell ref="B68:D68"/>
    <mergeCell ref="F45:G45"/>
    <mergeCell ref="F46:G46"/>
    <mergeCell ref="C54:D54"/>
    <mergeCell ref="B61:D61"/>
    <mergeCell ref="B62:D62"/>
    <mergeCell ref="B63:D63"/>
    <mergeCell ref="B64:D64"/>
    <mergeCell ref="E81:F81"/>
    <mergeCell ref="E82:F82"/>
    <mergeCell ref="E87:F87"/>
    <mergeCell ref="E88:F88"/>
    <mergeCell ref="I71:J71"/>
    <mergeCell ref="I72:J72"/>
    <mergeCell ref="G73:J73"/>
    <mergeCell ref="C77:D77"/>
    <mergeCell ref="E80:F80"/>
    <mergeCell ref="I80:J80"/>
    <mergeCell ref="I81:J81"/>
    <mergeCell ref="G88:H88"/>
    <mergeCell ref="J89:K89"/>
    <mergeCell ref="I82:J82"/>
    <mergeCell ref="I83:J83"/>
    <mergeCell ref="H84:I84"/>
    <mergeCell ref="J84:K84"/>
    <mergeCell ref="H85:I85"/>
    <mergeCell ref="J85:K85"/>
    <mergeCell ref="G87:H87"/>
    <mergeCell ref="A2:I2"/>
    <mergeCell ref="I3:J3"/>
    <mergeCell ref="C5:D5"/>
    <mergeCell ref="I5:J5"/>
    <mergeCell ref="C8:D8"/>
    <mergeCell ref="C9:D9"/>
    <mergeCell ref="C11:D11"/>
    <mergeCell ref="C12:D12"/>
    <mergeCell ref="C14:D14"/>
    <mergeCell ref="I14:L14"/>
    <mergeCell ref="I15:L15"/>
    <mergeCell ref="H21:J21"/>
    <mergeCell ref="H22:J22"/>
    <mergeCell ref="I26:K26"/>
    <mergeCell ref="F26:H26"/>
    <mergeCell ref="F27:H27"/>
    <mergeCell ref="I27:K27"/>
    <mergeCell ref="F32:G32"/>
    <mergeCell ref="F35:G35"/>
    <mergeCell ref="I35:J35"/>
    <mergeCell ref="I36:J36"/>
    <mergeCell ref="F36:G36"/>
    <mergeCell ref="F37:G37"/>
    <mergeCell ref="F38:G38"/>
    <mergeCell ref="F39:G39"/>
    <mergeCell ref="F41:G41"/>
    <mergeCell ref="F42:G42"/>
    <mergeCell ref="F43:G43"/>
    <mergeCell ref="I37:J37"/>
    <mergeCell ref="I38:J38"/>
    <mergeCell ref="I39:J39"/>
    <mergeCell ref="I41:J41"/>
    <mergeCell ref="I42:J42"/>
    <mergeCell ref="I43:J43"/>
    <mergeCell ref="I45:J45"/>
    <mergeCell ref="I46:J46"/>
    <mergeCell ref="I51:J51"/>
    <mergeCell ref="I54:J54"/>
    <mergeCell ref="I55:J55"/>
    <mergeCell ref="I56:J56"/>
    <mergeCell ref="I57:J57"/>
    <mergeCell ref="I60:J60"/>
    <mergeCell ref="I61:J61"/>
    <mergeCell ref="I62:J62"/>
    <mergeCell ref="I63:J63"/>
    <mergeCell ref="I66:J66"/>
    <mergeCell ref="I67:J67"/>
    <mergeCell ref="I68:J68"/>
    <mergeCell ref="I69:J69"/>
  </mergeCells>
  <hyperlinks>
    <hyperlink r:id="rId2" ref="C12"/>
  </hyperlinks>
  <printOptions/>
  <pageMargins bottom="0.75" footer="0.0" header="0.0" left="0.7" right="0.7" top="0.75"/>
  <pageSetup orientation="landscape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25.0"/>
    <col customWidth="1" min="3" max="3" width="18.88"/>
    <col customWidth="1" min="4" max="4" width="17.0"/>
    <col customWidth="1" min="5" max="9" width="9.13"/>
    <col customWidth="1" min="10" max="10" width="11.25"/>
    <col customWidth="1" min="11" max="11" width="11.63"/>
    <col customWidth="1" min="12" max="26" width="14.38"/>
  </cols>
  <sheetData>
    <row r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2.75" customHeight="1">
      <c r="A2" s="2" t="s">
        <v>137</v>
      </c>
      <c r="B2" s="3"/>
      <c r="C2" s="3"/>
      <c r="D2" s="3"/>
      <c r="E2" s="3"/>
      <c r="F2" s="3"/>
      <c r="G2" s="3"/>
      <c r="H2" s="3"/>
      <c r="I2" s="3"/>
      <c r="J2" s="32"/>
      <c r="K2" s="32"/>
    </row>
    <row r="3" ht="12.75" customHeight="1">
      <c r="A3" s="1"/>
      <c r="B3" s="1"/>
      <c r="C3" s="1"/>
      <c r="D3" s="1"/>
      <c r="E3" s="1" t="s">
        <v>45</v>
      </c>
      <c r="F3" s="1"/>
      <c r="G3" s="1"/>
      <c r="H3" s="1"/>
      <c r="I3" s="33">
        <v>39241.0</v>
      </c>
      <c r="J3" s="3"/>
      <c r="K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34"/>
      <c r="K4" s="1"/>
    </row>
    <row r="5" ht="12.75" customHeight="1">
      <c r="A5" s="1" t="s">
        <v>46</v>
      </c>
      <c r="B5" s="1" t="s">
        <v>47</v>
      </c>
      <c r="C5" s="35"/>
      <c r="D5" s="3"/>
      <c r="E5" s="1"/>
      <c r="F5" s="1"/>
      <c r="G5" s="25" t="s">
        <v>49</v>
      </c>
      <c r="H5" s="1"/>
      <c r="I5" s="33">
        <v>18264.0</v>
      </c>
      <c r="J5" s="3"/>
      <c r="K5" s="1"/>
    </row>
    <row r="6" ht="12.75" customHeight="1">
      <c r="A6" s="1"/>
      <c r="B6" s="1" t="s">
        <v>50</v>
      </c>
      <c r="C6" s="36"/>
      <c r="D6" s="11"/>
      <c r="E6" s="1"/>
      <c r="F6" s="1"/>
      <c r="G6" s="25" t="s">
        <v>51</v>
      </c>
      <c r="H6" s="37">
        <f>IF(DATE(YEAR($I$3),MONTH(I5),DAY(I5))&lt;=$I$3,YEAR($I$3)-YEAR(I5),YEAR($I$3)-YEAR(I5)-1)</f>
        <v>57</v>
      </c>
      <c r="I6" s="1"/>
      <c r="J6" s="1"/>
      <c r="K6" s="1"/>
    </row>
    <row r="7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</row>
    <row r="8" ht="12.75" customHeight="1">
      <c r="A8" s="1"/>
      <c r="B8" s="1" t="s">
        <v>52</v>
      </c>
      <c r="C8" s="35"/>
      <c r="D8" s="3"/>
      <c r="E8" s="1"/>
      <c r="F8" s="1"/>
      <c r="G8" s="1"/>
      <c r="H8" s="1"/>
      <c r="I8" s="1"/>
      <c r="J8" s="1"/>
      <c r="K8" s="1"/>
    </row>
    <row r="9" ht="12.75" customHeight="1">
      <c r="A9" s="1"/>
      <c r="B9" s="1" t="s">
        <v>54</v>
      </c>
      <c r="C9" s="35"/>
      <c r="D9" s="3"/>
      <c r="E9" s="1"/>
      <c r="F9" s="1"/>
      <c r="G9" s="1"/>
      <c r="H9" s="1"/>
      <c r="I9" s="1"/>
      <c r="J9" s="1"/>
      <c r="K9" s="1"/>
    </row>
    <row r="10" ht="12.75" customHeight="1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</row>
    <row r="11" ht="12.75" customHeight="1">
      <c r="A11" s="1"/>
      <c r="B11" s="1" t="s">
        <v>56</v>
      </c>
      <c r="C11" s="35"/>
      <c r="D11" s="3"/>
      <c r="E11" s="1"/>
      <c r="F11" s="1"/>
      <c r="G11" s="1"/>
      <c r="H11" s="1"/>
      <c r="I11" s="1"/>
      <c r="J11" s="1"/>
      <c r="K11" s="1"/>
    </row>
    <row r="12" ht="12.75" customHeight="1">
      <c r="A12" s="1"/>
      <c r="B12" s="1" t="s">
        <v>58</v>
      </c>
      <c r="C12" s="118"/>
      <c r="D12" s="3"/>
      <c r="E12" s="1"/>
      <c r="F12" s="27" t="str">
        <f>IF(OR(C14="organist",C14="cantor-organist"),"","benaming aanstelling onjuist")</f>
        <v/>
      </c>
      <c r="G12" s="1"/>
      <c r="H12" s="1"/>
      <c r="I12" s="1"/>
      <c r="J12" s="1"/>
      <c r="K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>
      <c r="A14" s="1"/>
      <c r="B14" s="1" t="s">
        <v>60</v>
      </c>
      <c r="C14" s="39" t="s">
        <v>138</v>
      </c>
      <c r="D14" s="3"/>
      <c r="E14" s="1" t="s">
        <v>62</v>
      </c>
      <c r="F14" s="1"/>
      <c r="G14" s="1"/>
      <c r="H14" s="1"/>
      <c r="I14" s="29" t="str">
        <f>'KM1'!I14</f>
        <v>Voorbeeld</v>
      </c>
      <c r="J14" s="3"/>
      <c r="K14" s="3"/>
    </row>
    <row r="15" ht="12.75" customHeight="1">
      <c r="A15" s="1"/>
      <c r="B15" s="27" t="str">
        <f>IF(C14="cantor","voor cantor: zie werkblad Cantor","")</f>
        <v/>
      </c>
      <c r="C15" s="1"/>
      <c r="D15" s="1"/>
      <c r="E15" s="1"/>
      <c r="F15" s="1"/>
      <c r="G15" s="8" t="s">
        <v>64</v>
      </c>
      <c r="H15" s="1"/>
      <c r="I15" s="29" t="str">
        <f>'KM1'!$I$15</f>
        <v>Grote Kerk</v>
      </c>
      <c r="J15" s="3"/>
      <c r="K15" s="3"/>
    </row>
    <row r="16" ht="12.75" customHeight="1">
      <c r="A16" s="1"/>
      <c r="B16" s="1"/>
      <c r="C16" s="1"/>
      <c r="D16" s="25"/>
      <c r="E16" s="1"/>
      <c r="F16" s="4"/>
      <c r="G16" s="1"/>
      <c r="H16" s="1"/>
      <c r="I16" s="1"/>
      <c r="J16" s="1"/>
      <c r="K16" s="1"/>
    </row>
    <row r="17" ht="12.75" customHeight="1">
      <c r="A17" s="1"/>
      <c r="B17" s="1" t="s">
        <v>66</v>
      </c>
      <c r="C17" s="5" t="str">
        <f>I15</f>
        <v>Grote Kerk</v>
      </c>
      <c r="D17" s="25"/>
      <c r="E17" s="1" t="s">
        <v>67</v>
      </c>
      <c r="F17" s="4"/>
      <c r="G17" s="1"/>
      <c r="H17" s="1"/>
      <c r="I17" s="6">
        <f>'KM1'!$I$17</f>
        <v>5</v>
      </c>
      <c r="J17" s="1" t="s">
        <v>68</v>
      </c>
      <c r="K17" s="1"/>
    </row>
    <row r="18" ht="12.75" customHeight="1">
      <c r="A18" s="1"/>
      <c r="B18" s="1"/>
      <c r="C18" s="1"/>
      <c r="D18" s="25"/>
      <c r="E18" s="1"/>
      <c r="F18" s="4"/>
      <c r="G18" s="25"/>
      <c r="H18" s="1"/>
      <c r="I18" s="37"/>
      <c r="J18" s="1"/>
      <c r="K18" s="1"/>
    </row>
    <row r="19" ht="12.75" customHeight="1">
      <c r="A19" s="1" t="s">
        <v>1</v>
      </c>
      <c r="B19" s="4" t="s">
        <v>69</v>
      </c>
      <c r="C19" s="1"/>
      <c r="D19" s="1"/>
      <c r="E19" s="1"/>
      <c r="F19" s="1"/>
      <c r="G19" s="1"/>
      <c r="H19" s="1"/>
      <c r="I19" s="1"/>
      <c r="J19" s="1"/>
      <c r="K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2.75" customHeight="1">
      <c r="A21" s="1"/>
      <c r="B21" s="24" t="s">
        <v>71</v>
      </c>
      <c r="C21" s="6" t="str">
        <f>'KM1'!C21</f>
        <v>iii</v>
      </c>
      <c r="D21" s="40" t="str">
        <f t="shared" ref="D21:D22" si="1">IF(C21="I","",IF(C21="II","",IF(C21="III","",IF(C21="nvt","","  onjuiste invoer"))))</f>
        <v/>
      </c>
      <c r="E21" s="1"/>
      <c r="F21" s="1"/>
      <c r="G21" s="25" t="s">
        <v>73</v>
      </c>
      <c r="H21" s="119">
        <f>'KM1'!H21</f>
        <v>36161</v>
      </c>
      <c r="I21" s="3"/>
      <c r="J21" s="3"/>
      <c r="K21" s="1"/>
    </row>
    <row r="22" ht="12.75" customHeight="1">
      <c r="A22" s="1"/>
      <c r="B22" s="24" t="s">
        <v>74</v>
      </c>
      <c r="C22" s="6" t="str">
        <f>'KM1'!C22</f>
        <v>I</v>
      </c>
      <c r="D22" s="40" t="str">
        <f t="shared" si="1"/>
        <v/>
      </c>
      <c r="E22" s="1"/>
      <c r="F22" s="1"/>
      <c r="G22" s="25" t="s">
        <v>73</v>
      </c>
      <c r="H22" s="119">
        <f>'KM1'!H22</f>
        <v>36526</v>
      </c>
      <c r="I22" s="3"/>
      <c r="J22" s="3"/>
      <c r="K22" s="1"/>
    </row>
    <row r="23" ht="12.75" customHeight="1">
      <c r="A23" s="1"/>
      <c r="B23" s="41" t="str">
        <f>IF(OR($C$21="I",$C$21="II",$C$21="III"),"","functieniveau orgel niet juist ingevuld")</f>
        <v/>
      </c>
      <c r="C23" s="1"/>
      <c r="D23" s="42" t="str">
        <f>IF(AND(C21="nvt",C22="nvt"),"welke functie is van toepassing?"," ")</f>
        <v> </v>
      </c>
      <c r="E23" s="1"/>
      <c r="F23" s="1"/>
      <c r="G23" s="1"/>
      <c r="H23" s="1"/>
      <c r="I23" s="1"/>
      <c r="J23" s="1"/>
      <c r="K23" s="1"/>
    </row>
    <row r="24" ht="12.75" customHeight="1">
      <c r="A24" s="1" t="s">
        <v>32</v>
      </c>
      <c r="B24" s="4" t="s">
        <v>76</v>
      </c>
      <c r="C24" s="8"/>
      <c r="D24" s="8"/>
      <c r="E24" s="1"/>
      <c r="F24" s="1"/>
      <c r="G24" s="1"/>
      <c r="H24" s="1"/>
      <c r="I24" s="1"/>
      <c r="J24" s="1"/>
      <c r="K24" s="1"/>
    </row>
    <row r="25" ht="12.75" customHeight="1">
      <c r="A25" s="1"/>
      <c r="B25" s="1" t="s">
        <v>77</v>
      </c>
      <c r="C25" s="8"/>
      <c r="D25" s="40" t="str">
        <f>IF(C26="I","",IF(C26="II","",IF(C26="III","",IF(C26="geen","","onjuiste invoer orgel"))))</f>
        <v/>
      </c>
      <c r="E25" s="1"/>
      <c r="F25" s="40" t="str">
        <f>IF(C27="I","",IF(C27="II","",IF(C27="III","",IF(C27="geen","","onjuiste invoer cantoraat"))))</f>
        <v/>
      </c>
      <c r="G25" s="1"/>
      <c r="H25" s="1"/>
      <c r="I25" s="1"/>
      <c r="J25" s="28" t="str">
        <f>IF(OR(C26="I",C26="II",C26="III"),IF(I26&gt;I5,IF(I26&lt;I3,"","onjuist"),"datum ligt voor geboortedatum"),IF(C26="geen",IF(I26="nvt","","onjuist"),"onjuist"))</f>
        <v/>
      </c>
      <c r="K25" s="1"/>
    </row>
    <row r="26" ht="12.75" customHeight="1">
      <c r="A26" s="1"/>
      <c r="B26" s="24" t="s">
        <v>71</v>
      </c>
      <c r="C26" s="7" t="s">
        <v>78</v>
      </c>
      <c r="D26" s="1"/>
      <c r="E26" s="25" t="s">
        <v>79</v>
      </c>
      <c r="F26" s="43"/>
      <c r="G26" s="3"/>
      <c r="H26" s="3"/>
      <c r="I26" s="33">
        <v>34700.0</v>
      </c>
      <c r="J26" s="3"/>
      <c r="K26" s="1"/>
    </row>
    <row r="27" ht="12.75" customHeight="1">
      <c r="A27" s="1"/>
      <c r="B27" s="24" t="s">
        <v>74</v>
      </c>
      <c r="C27" s="7" t="s">
        <v>139</v>
      </c>
      <c r="D27" s="44"/>
      <c r="E27" s="25" t="s">
        <v>79</v>
      </c>
      <c r="F27" s="43"/>
      <c r="G27" s="3"/>
      <c r="H27" s="3"/>
      <c r="I27" s="33" t="s">
        <v>140</v>
      </c>
      <c r="J27" s="3"/>
      <c r="K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28" t="str">
        <f>IF(OR(C27="I",C27="II",C27="III"),IF(I27&gt;I5,IF(I27&lt;I3,"","onjuist"),"datum ligt voor geboortedatum"),IF(C27="geen",IF(I27="nvt","","onjuist"),"onjuist"))</f>
        <v/>
      </c>
      <c r="K28" s="1"/>
    </row>
    <row r="29" ht="12.75" customHeight="1">
      <c r="A29" s="1" t="s">
        <v>81</v>
      </c>
      <c r="B29" s="4" t="s">
        <v>82</v>
      </c>
      <c r="C29" s="1"/>
      <c r="D29" s="1"/>
      <c r="E29" s="1"/>
      <c r="F29" s="1"/>
      <c r="G29" s="1"/>
      <c r="H29" s="1"/>
      <c r="I29" s="1"/>
      <c r="J29" s="1"/>
      <c r="K29" s="28" t="s">
        <v>83</v>
      </c>
    </row>
    <row r="30" ht="12.75" customHeight="1">
      <c r="A30" s="1"/>
      <c r="B30" s="4"/>
      <c r="C30" s="1"/>
      <c r="D30" s="1"/>
      <c r="E30" s="1"/>
      <c r="F30" s="4"/>
      <c r="G30" s="1"/>
      <c r="H30" s="1"/>
      <c r="I30" s="4"/>
      <c r="J30" s="1"/>
      <c r="K30" s="1"/>
    </row>
    <row r="31" ht="16.5" customHeight="1">
      <c r="A31" s="1"/>
      <c r="B31" s="1" t="s">
        <v>84</v>
      </c>
      <c r="C31" s="5" t="str">
        <f>$I$14</f>
        <v>Voorbeeld</v>
      </c>
      <c r="D31" s="1"/>
      <c r="E31" s="40" t="str">
        <f>IF($E$36&gt;0,IF($F$37="onbev","onbevoegd, geen dienstjaren orgel vorige betrekkingen","" ),"")</f>
        <v/>
      </c>
      <c r="F31" s="1"/>
      <c r="G31" s="1"/>
      <c r="H31" s="1"/>
      <c r="I31" s="1"/>
      <c r="J31" s="1"/>
      <c r="K31" s="1"/>
    </row>
    <row r="32" ht="12.75" customHeight="1">
      <c r="A32" s="1"/>
      <c r="B32" s="1" t="s">
        <v>85</v>
      </c>
      <c r="C32" s="1"/>
      <c r="D32" s="1"/>
      <c r="E32" s="1"/>
      <c r="F32" s="33">
        <v>38718.0</v>
      </c>
      <c r="G32" s="3"/>
      <c r="H32" s="1"/>
      <c r="I32" s="40" t="str">
        <f>IF($H$36&gt;0,IF($I$37="onbev","cantor is onbevoegd, geen dienstjaren uit vorige betrekkingen","" ),"")</f>
        <v/>
      </c>
      <c r="J32" s="8"/>
      <c r="K32" s="1"/>
    </row>
    <row r="33" ht="12.75" customHeight="1">
      <c r="A33" s="1"/>
      <c r="B33" s="1"/>
      <c r="C33" s="27" t="str">
        <f>IF(OR($F$32="nvt",$F$37="onbev",E36=0),"",IF((DAYS360($I$26,$F$32)-($E$36*360-1))&gt;0,"","onjuiste invoer dienstjaren orgel vorige betrekkingen"))</f>
        <v/>
      </c>
      <c r="D33" s="1"/>
      <c r="E33" s="1"/>
      <c r="F33" s="44"/>
      <c r="G33" s="1"/>
      <c r="H33" s="1"/>
      <c r="I33" s="27" t="str">
        <f>IF(F32="nvt","",IF((DAYS360($I$5,$F$32))&gt;0,"","benoemingsdatum is in strijd met geboortedatum"))</f>
        <v/>
      </c>
      <c r="J33" s="1"/>
      <c r="K33" s="40"/>
    </row>
    <row r="34" ht="12.75" customHeight="1">
      <c r="A34" s="1"/>
      <c r="B34" s="1"/>
      <c r="C34" s="1"/>
      <c r="D34" s="27"/>
      <c r="E34" s="1"/>
      <c r="F34" s="27" t="str">
        <f>IF(OR($F$32="nvt",$I$37="onbev",$H$36=0),"",IF((DAYS360($I$27,$F$32)-($H$36*360-1))&gt;0,"","onjuiste invoer dienstjaren cantoraat vorige betrekkingen"))</f>
        <v/>
      </c>
      <c r="G34" s="1"/>
      <c r="H34" s="1"/>
      <c r="I34" s="4"/>
      <c r="J34" s="1"/>
      <c r="K34" s="40"/>
    </row>
    <row r="35" ht="12.75" customHeight="1">
      <c r="A35" s="1"/>
      <c r="B35" s="1"/>
      <c r="C35" s="1"/>
      <c r="D35" s="27"/>
      <c r="E35" s="1"/>
      <c r="F35" s="46" t="s">
        <v>86</v>
      </c>
      <c r="G35" s="3"/>
      <c r="H35" s="1"/>
      <c r="I35" s="29" t="s">
        <v>87</v>
      </c>
      <c r="J35" s="3"/>
      <c r="K35" s="1"/>
    </row>
    <row r="36" ht="12.75" customHeight="1">
      <c r="A36" s="1"/>
      <c r="B36" s="1" t="s">
        <v>88</v>
      </c>
      <c r="C36" s="1"/>
      <c r="D36" s="1"/>
      <c r="E36" s="7">
        <v>2.0</v>
      </c>
      <c r="F36" s="47">
        <f>IF(OR($C$26="geen",$I$26="nvt"),0,IF((DAYS360($I$26,$F$32)-($E$36*360-1))&gt;0,$E$36,0))</f>
        <v>2</v>
      </c>
      <c r="G36" s="3"/>
      <c r="H36" s="7">
        <v>0.0</v>
      </c>
      <c r="I36" s="47">
        <f>IF(OR($C$27="geen",$I$27="nvt"),0,IF((DAYS360($I$27,$F$32)-($H$36*360-1))&gt;0,$H$36,0))</f>
        <v>0</v>
      </c>
      <c r="J36" s="3"/>
      <c r="K36" s="1"/>
    </row>
    <row r="37" ht="12.75" customHeight="1">
      <c r="A37" s="1"/>
      <c r="B37" s="1" t="s">
        <v>89</v>
      </c>
      <c r="C37" s="1"/>
      <c r="D37" s="8"/>
      <c r="E37" s="1"/>
      <c r="F37" s="47">
        <f>IF($I$26="nvt","onbev",IF($F$26="nvt",0,IF($F$32&gt;$I$26,ROUNDDOWN(($I$3-$F$32)/365,0),IF($I$3&gt;$I$26,ROUNDDOWN(($I$3-$I$26)/365,0),0))))</f>
        <v>1</v>
      </c>
      <c r="G37" s="3"/>
      <c r="H37" s="1"/>
      <c r="I37" s="47" t="str">
        <f>IF($I$27="nvt","onbev",IF($F$27="nvt",0,IF($F$32&gt;$I$27,ROUNDDOWN(($I$3-$F$32)/365,0),IF($I$3&gt;$I$27,ROUNDDOWN(($I$3-$I$27)/365,0),0))))</f>
        <v>onbev</v>
      </c>
      <c r="J37" s="3"/>
      <c r="K37" s="1"/>
    </row>
    <row r="38" ht="12.75" customHeight="1">
      <c r="A38" s="1"/>
      <c r="B38" s="1"/>
      <c r="C38" s="6"/>
      <c r="D38" s="48" t="s">
        <v>90</v>
      </c>
      <c r="E38" s="1"/>
      <c r="F38" s="47">
        <f>IF($F$37="onbev",0,($F$36+$F$37))</f>
        <v>3</v>
      </c>
      <c r="G38" s="3"/>
      <c r="H38" s="1"/>
      <c r="I38" s="47">
        <f>IF($I$37="onbev",0,($I$36+$I$37))</f>
        <v>0</v>
      </c>
      <c r="J38" s="3"/>
      <c r="K38" s="1"/>
    </row>
    <row r="39" ht="12.75" customHeight="1">
      <c r="A39" s="1"/>
      <c r="B39" s="1"/>
      <c r="C39" s="6"/>
      <c r="D39" s="48" t="s">
        <v>91</v>
      </c>
      <c r="E39" s="1"/>
      <c r="F39" s="49">
        <f>IF($C$21="III",IF($F$38&gt;10,10,$F$38),IF($F$38&gt;9,"10",$F$38))</f>
        <v>3</v>
      </c>
      <c r="G39" s="50"/>
      <c r="H39" s="1"/>
      <c r="I39" s="49">
        <f>IF($C$22="III",IF($I$38&gt;10,10,$I$38),IF($I$38&gt;9,"10",$I$38))</f>
        <v>0</v>
      </c>
      <c r="J39" s="50"/>
      <c r="K39" s="1"/>
    </row>
    <row r="40" ht="12.75" customHeight="1">
      <c r="A40" s="1"/>
      <c r="B40" s="4"/>
      <c r="C40" s="6"/>
      <c r="D40" s="51"/>
      <c r="E40" s="1"/>
      <c r="F40" s="6"/>
      <c r="G40" s="1"/>
      <c r="H40" s="1"/>
      <c r="I40" s="6"/>
      <c r="J40" s="1"/>
      <c r="K40" s="1"/>
    </row>
    <row r="41" ht="12.75" customHeight="1">
      <c r="A41" s="1"/>
      <c r="B41" s="1"/>
      <c r="C41" s="6"/>
      <c r="D41" s="51"/>
      <c r="E41" s="25" t="s">
        <v>141</v>
      </c>
      <c r="F41" s="47" t="str">
        <f>IF($C$26=$C$21,$C$21,IF($C$26&lt;$C$21,$C$21,IF(AND($C$26&gt;$C$21,$F$39&gt;2),IF($C$26="III",$C$21,$C$26),$C$21)))</f>
        <v>iii</v>
      </c>
      <c r="G41" s="3"/>
      <c r="H41" s="25"/>
      <c r="I41" s="47" t="str">
        <f>IF($C$27=$C$22,$C$22,IF($C$27&lt;$C$22,$C$22,IF(AND($C$27&gt;$C$22,$I$39&gt;2),IF($C$27="III",$C$22,$C$27),$C$22)))</f>
        <v>I</v>
      </c>
      <c r="J41" s="3"/>
      <c r="K41" s="1"/>
    </row>
    <row r="42" ht="12.75" customHeight="1">
      <c r="A42" s="1"/>
      <c r="B42" s="1"/>
      <c r="C42" s="6"/>
      <c r="D42" s="1"/>
      <c r="E42" s="48" t="s">
        <v>93</v>
      </c>
      <c r="F42" s="47">
        <f>IF($C$26=$C$21,$F$39,IF($C$26&lt;$C$21,$F$39,IF(AND($C$26&gt;$C$21,$F$39&gt;2),IF($C$26="III",0,$F$39),0)))</f>
        <v>3</v>
      </c>
      <c r="G42" s="3"/>
      <c r="H42" s="48"/>
      <c r="I42" s="47">
        <f>IF($C$27=$C$22,$I$39,IF($C$27&lt;$C$22,$I$39,IF(AND($C$27&gt;$C$22,$I$39&gt;2),IF($C$27="III",0,$I$39),0)))</f>
        <v>0</v>
      </c>
      <c r="J42" s="3"/>
      <c r="K42" s="1"/>
    </row>
    <row r="43" ht="12.75" hidden="1" customHeight="1">
      <c r="A43" s="1"/>
      <c r="B43" s="1"/>
      <c r="C43" s="1"/>
      <c r="D43" s="1"/>
      <c r="E43" s="48" t="s">
        <v>94</v>
      </c>
      <c r="F43" s="47" t="str">
        <f>CONCATENATE(F41,".",F42)</f>
        <v>iii.3</v>
      </c>
      <c r="G43" s="3"/>
      <c r="H43" s="48"/>
      <c r="I43" s="47" t="str">
        <f>CONCATENATE(I41,".",I42)</f>
        <v>I.0</v>
      </c>
      <c r="J43" s="3"/>
      <c r="K43" s="1"/>
    </row>
    <row r="44" ht="12.75" customHeight="1">
      <c r="A44" s="1"/>
      <c r="B44" s="1"/>
      <c r="C44" s="6"/>
      <c r="D44" s="51"/>
      <c r="E44" s="1"/>
      <c r="F44" s="6"/>
      <c r="G44" s="1"/>
      <c r="H44" s="1"/>
      <c r="I44" s="6"/>
      <c r="J44" s="1"/>
      <c r="K44" s="1"/>
    </row>
    <row r="45" ht="12.75" customHeight="1">
      <c r="A45" s="1"/>
      <c r="B45" s="1" t="s">
        <v>95</v>
      </c>
      <c r="C45" s="6"/>
      <c r="D45" s="51"/>
      <c r="E45" s="1"/>
      <c r="F45" s="52">
        <f>IF($F$32="nvt",0,VLOOKUP($F$43,Salaristabellen!A8:H46,8,FALSE))</f>
        <v>1.111734615</v>
      </c>
      <c r="G45" s="53"/>
      <c r="H45" s="1"/>
      <c r="I45" s="52">
        <f>IF(OR($F$32="nvt",$C$14="organist"),0,VLOOKUP($I$43,Salaristabellen!A8:H46,8,FALSE))</f>
        <v>0</v>
      </c>
      <c r="J45" s="53"/>
      <c r="K45" s="1"/>
    </row>
    <row r="46" ht="12.75" customHeight="1">
      <c r="A46" s="1"/>
      <c r="B46" s="1" t="s">
        <v>96</v>
      </c>
      <c r="C46" s="6"/>
      <c r="D46" s="51"/>
      <c r="E46" s="1"/>
      <c r="F46" s="54">
        <f>IF($F$32="nvt",0,VLOOKUP($F$43,Salaristabellen!A8:H46,2,FALSE)*12/(52*36))</f>
        <v>15.88192308</v>
      </c>
      <c r="G46" s="55"/>
      <c r="H46" s="1"/>
      <c r="I46" s="54">
        <f>IF(OR($F$32="nvt",$C$14="organist"),0,VLOOKUP($I$43,Salaristabellen!A8:H46,2,FALSE)*12/(52*36))</f>
        <v>0</v>
      </c>
      <c r="J46" s="55"/>
      <c r="K46" s="1"/>
    </row>
    <row r="47" ht="12.75" customHeight="1">
      <c r="A47" s="1"/>
      <c r="B47" s="1"/>
      <c r="C47" s="6"/>
      <c r="D47" s="51"/>
      <c r="E47" s="1"/>
      <c r="F47" s="1" t="str">
        <f>Salaristabellen!$G$1</f>
        <v>(salarisschalen per 1 januari 2024)</v>
      </c>
      <c r="G47" s="1"/>
      <c r="H47" s="1"/>
      <c r="I47" s="51"/>
      <c r="J47" s="8"/>
      <c r="K47" s="1"/>
    </row>
    <row r="48" ht="12.75" customHeight="1">
      <c r="A48" s="1"/>
      <c r="B48" s="1"/>
      <c r="C48" s="6"/>
      <c r="D48" s="51"/>
      <c r="E48" s="1"/>
      <c r="F48" s="1"/>
      <c r="G48" s="1"/>
      <c r="H48" s="1"/>
      <c r="I48" s="51"/>
      <c r="J48" s="8"/>
      <c r="K48" s="1"/>
    </row>
    <row r="49" ht="12.75" customHeight="1">
      <c r="A49" s="1" t="s">
        <v>97</v>
      </c>
      <c r="B49" s="4" t="s">
        <v>98</v>
      </c>
      <c r="C49" s="1"/>
      <c r="D49" s="1"/>
      <c r="E49" s="1"/>
      <c r="F49" s="1"/>
      <c r="G49" s="1"/>
      <c r="H49" s="1"/>
      <c r="I49" s="1"/>
      <c r="J49" s="1"/>
      <c r="K49" s="1"/>
    </row>
    <row r="50" ht="12.75" customHeight="1">
      <c r="A50" s="1"/>
      <c r="B50" s="1"/>
      <c r="C50" s="1"/>
      <c r="D50" s="8"/>
      <c r="E50" s="1"/>
      <c r="F50" s="1"/>
      <c r="G50" s="1"/>
      <c r="H50" s="1"/>
      <c r="I50" s="1"/>
      <c r="J50" s="1"/>
      <c r="K50" s="1"/>
    </row>
    <row r="51" ht="12.75" customHeight="1">
      <c r="A51" s="1"/>
      <c r="B51" s="56" t="s">
        <v>99</v>
      </c>
      <c r="C51" s="57" t="str">
        <f>C14</f>
        <v>organist</v>
      </c>
      <c r="D51" s="58"/>
      <c r="E51" s="59" t="s">
        <v>100</v>
      </c>
      <c r="F51" s="60" t="s">
        <v>101</v>
      </c>
      <c r="G51" s="61" t="s">
        <v>102</v>
      </c>
      <c r="H51" s="62"/>
      <c r="I51" s="49" t="s">
        <v>103</v>
      </c>
      <c r="J51" s="50"/>
      <c r="K51" s="1"/>
    </row>
    <row r="52" ht="12.75" customHeight="1">
      <c r="A52" s="1"/>
      <c r="B52" s="63" t="s">
        <v>104</v>
      </c>
      <c r="C52" s="64"/>
      <c r="D52" s="65"/>
      <c r="E52" s="8"/>
      <c r="F52" s="66"/>
      <c r="G52" s="67" t="s">
        <v>105</v>
      </c>
      <c r="H52" s="68" t="s">
        <v>106</v>
      </c>
      <c r="I52" s="69"/>
      <c r="J52" s="70"/>
      <c r="K52" s="1"/>
    </row>
    <row r="53" ht="12.75" customHeight="1">
      <c r="A53" s="1"/>
      <c r="B53" s="71" t="s">
        <v>142</v>
      </c>
      <c r="C53" s="72"/>
      <c r="D53" s="73"/>
      <c r="E53" s="8"/>
      <c r="F53" s="74">
        <f>Verdeling!$F$30</f>
        <v>60</v>
      </c>
      <c r="G53" s="8"/>
      <c r="H53" s="68"/>
      <c r="I53" s="8"/>
      <c r="J53" s="75"/>
      <c r="K53" s="1"/>
    </row>
    <row r="54" ht="12.75" customHeight="1">
      <c r="A54" s="1"/>
      <c r="B54" s="71" t="s">
        <v>108</v>
      </c>
      <c r="C54" s="21" t="str">
        <f>C5</f>
        <v/>
      </c>
      <c r="D54" s="76"/>
      <c r="E54" s="8">
        <v>30.0</v>
      </c>
      <c r="F54" s="77">
        <f>Verdeling!$M$36</f>
        <v>10</v>
      </c>
      <c r="G54" s="78">
        <f>F54*E54/52</f>
        <v>5.769230769</v>
      </c>
      <c r="H54" s="74"/>
      <c r="I54" s="47"/>
      <c r="J54" s="76"/>
      <c r="K54" s="1"/>
    </row>
    <row r="55" ht="12.75" customHeight="1">
      <c r="A55" s="1"/>
      <c r="B55" s="71" t="s">
        <v>143</v>
      </c>
      <c r="C55" s="1"/>
      <c r="D55" s="75"/>
      <c r="E55" s="8">
        <v>5.0</v>
      </c>
      <c r="F55" s="79">
        <v>0.0</v>
      </c>
      <c r="G55" s="78">
        <f>IF(AND($I$17=1,F53&gt;52),F55,F55*F54/52)</f>
        <v>0</v>
      </c>
      <c r="H55" s="77"/>
      <c r="I55" s="47"/>
      <c r="J55" s="76"/>
      <c r="K55" s="1"/>
    </row>
    <row r="56" ht="12.75" customHeight="1">
      <c r="A56" s="1"/>
      <c r="B56" s="71" t="s">
        <v>144</v>
      </c>
      <c r="C56" s="1"/>
      <c r="D56" s="75"/>
      <c r="E56" s="8" t="s">
        <v>111</v>
      </c>
      <c r="F56" s="79">
        <v>0.0</v>
      </c>
      <c r="G56" s="78">
        <f>IF(AND($I$17=1,F53&gt;52),F56,F56*F54/52)</f>
        <v>0</v>
      </c>
      <c r="H56" s="74"/>
      <c r="I56" s="47"/>
      <c r="J56" s="76"/>
      <c r="K56" s="1"/>
    </row>
    <row r="57" ht="12.75" customHeight="1">
      <c r="A57" s="1"/>
      <c r="B57" s="71" t="s">
        <v>145</v>
      </c>
      <c r="C57" s="1"/>
      <c r="D57" s="75"/>
      <c r="E57" s="8">
        <v>30.0</v>
      </c>
      <c r="F57" s="79">
        <v>0.0</v>
      </c>
      <c r="G57" s="78"/>
      <c r="H57" s="77">
        <f>IF(C14="organist",0,F57*E57/52)</f>
        <v>0</v>
      </c>
      <c r="I57" s="47"/>
      <c r="J57" s="76"/>
      <c r="K57" s="1"/>
    </row>
    <row r="58" ht="12.75" customHeight="1">
      <c r="A58" s="1"/>
      <c r="B58" s="71" t="s">
        <v>146</v>
      </c>
      <c r="C58" s="1"/>
      <c r="D58" s="75"/>
      <c r="E58" s="8">
        <v>185.0</v>
      </c>
      <c r="F58" s="79">
        <v>0.0</v>
      </c>
      <c r="G58" s="78">
        <f t="shared" ref="G58:G59" si="2">F58*E58/52</f>
        <v>0</v>
      </c>
      <c r="H58" s="80"/>
      <c r="I58" s="6"/>
      <c r="J58" s="75"/>
      <c r="K58" s="1"/>
    </row>
    <row r="59" ht="12.75" customHeight="1">
      <c r="A59" s="1"/>
      <c r="B59" s="71" t="s">
        <v>147</v>
      </c>
      <c r="C59" s="1"/>
      <c r="D59" s="75"/>
      <c r="E59" s="8">
        <v>40.0</v>
      </c>
      <c r="F59" s="79">
        <v>0.0</v>
      </c>
      <c r="G59" s="78">
        <f t="shared" si="2"/>
        <v>0</v>
      </c>
      <c r="H59" s="74"/>
      <c r="I59" s="6"/>
      <c r="J59" s="75"/>
      <c r="K59" s="1"/>
    </row>
    <row r="60" ht="12.75" customHeight="1">
      <c r="A60" s="1"/>
      <c r="B60" s="71" t="s">
        <v>148</v>
      </c>
      <c r="C60" s="1"/>
      <c r="D60" s="75"/>
      <c r="E60" s="8"/>
      <c r="F60" s="77"/>
      <c r="G60" s="78"/>
      <c r="H60" s="74"/>
      <c r="I60" s="47"/>
      <c r="J60" s="76"/>
      <c r="K60" s="1"/>
    </row>
    <row r="61" ht="12.75" customHeight="1">
      <c r="A61" s="1"/>
      <c r="B61" s="81" t="s">
        <v>149</v>
      </c>
      <c r="C61" s="3"/>
      <c r="D61" s="76"/>
      <c r="E61" s="1"/>
      <c r="F61" s="79"/>
      <c r="G61" s="82"/>
      <c r="H61" s="83"/>
      <c r="I61" s="84" t="str">
        <f t="shared" ref="I61:I63" si="3">F61</f>
        <v/>
      </c>
      <c r="J61" s="76"/>
      <c r="K61" s="1"/>
    </row>
    <row r="62" ht="12.75" customHeight="1">
      <c r="A62" s="1"/>
      <c r="B62" s="81" t="s">
        <v>149</v>
      </c>
      <c r="C62" s="3"/>
      <c r="D62" s="76"/>
      <c r="E62" s="8"/>
      <c r="F62" s="79"/>
      <c r="G62" s="78"/>
      <c r="H62" s="74"/>
      <c r="I62" s="84" t="str">
        <f t="shared" si="3"/>
        <v/>
      </c>
      <c r="J62" s="76"/>
      <c r="K62" s="1"/>
    </row>
    <row r="63" ht="12.75" customHeight="1">
      <c r="A63" s="1"/>
      <c r="B63" s="81" t="s">
        <v>149</v>
      </c>
      <c r="C63" s="3"/>
      <c r="D63" s="76"/>
      <c r="E63" s="8"/>
      <c r="F63" s="79"/>
      <c r="G63" s="78"/>
      <c r="H63" s="74"/>
      <c r="I63" s="84" t="str">
        <f t="shared" si="3"/>
        <v/>
      </c>
      <c r="J63" s="76"/>
      <c r="K63" s="1"/>
    </row>
    <row r="64" ht="12.75" customHeight="1">
      <c r="A64" s="1"/>
      <c r="B64" s="81" t="s">
        <v>149</v>
      </c>
      <c r="C64" s="3"/>
      <c r="D64" s="76"/>
      <c r="E64" s="8"/>
      <c r="F64" s="79"/>
      <c r="G64" s="78"/>
      <c r="H64" s="74"/>
      <c r="I64" s="78"/>
      <c r="J64" s="85"/>
      <c r="K64" s="1"/>
    </row>
    <row r="65" ht="12.75" customHeight="1">
      <c r="A65" s="1"/>
      <c r="B65" s="86" t="s">
        <v>150</v>
      </c>
      <c r="C65" s="3"/>
      <c r="D65" s="76"/>
      <c r="E65" s="8"/>
      <c r="F65" s="77"/>
      <c r="G65" s="78"/>
      <c r="H65" s="74"/>
      <c r="I65" s="78"/>
      <c r="J65" s="85"/>
      <c r="K65" s="1"/>
    </row>
    <row r="66" ht="12.75" customHeight="1">
      <c r="A66" s="1"/>
      <c r="B66" s="81" t="s">
        <v>151</v>
      </c>
      <c r="C66" s="3"/>
      <c r="D66" s="76"/>
      <c r="E66" s="8"/>
      <c r="F66" s="79">
        <v>0.0</v>
      </c>
      <c r="G66" s="78"/>
      <c r="H66" s="74"/>
      <c r="I66" s="84">
        <f t="shared" ref="I66:I68" si="4">F66/52</f>
        <v>0</v>
      </c>
      <c r="J66" s="76"/>
      <c r="K66" s="1"/>
    </row>
    <row r="67" ht="12.75" customHeight="1">
      <c r="A67" s="1"/>
      <c r="B67" s="81" t="s">
        <v>152</v>
      </c>
      <c r="C67" s="3"/>
      <c r="D67" s="76"/>
      <c r="E67" s="8"/>
      <c r="F67" s="79"/>
      <c r="G67" s="78"/>
      <c r="H67" s="74"/>
      <c r="I67" s="84">
        <f t="shared" si="4"/>
        <v>0</v>
      </c>
      <c r="J67" s="76"/>
      <c r="K67" s="1"/>
    </row>
    <row r="68" ht="12.75" customHeight="1">
      <c r="A68" s="1"/>
      <c r="B68" s="87" t="s">
        <v>152</v>
      </c>
      <c r="C68" s="88"/>
      <c r="D68" s="55"/>
      <c r="E68" s="18"/>
      <c r="F68" s="89"/>
      <c r="G68" s="78"/>
      <c r="H68" s="90"/>
      <c r="I68" s="91">
        <f t="shared" si="4"/>
        <v>0</v>
      </c>
      <c r="J68" s="55"/>
      <c r="K68" s="1"/>
    </row>
    <row r="69" ht="12.75" customHeight="1">
      <c r="A69" s="1"/>
      <c r="B69" s="92" t="s">
        <v>118</v>
      </c>
      <c r="C69" s="18"/>
      <c r="D69" s="18"/>
      <c r="E69" s="18"/>
      <c r="F69" s="93"/>
      <c r="G69" s="94">
        <f t="shared" ref="G69:I69" si="5">SUM(G54:G68)</f>
        <v>5.769230769</v>
      </c>
      <c r="H69" s="95">
        <f t="shared" si="5"/>
        <v>0</v>
      </c>
      <c r="I69" s="96">
        <f t="shared" si="5"/>
        <v>0</v>
      </c>
      <c r="J69" s="50"/>
      <c r="K69" s="1"/>
    </row>
    <row r="70" ht="12.75" customHeight="1">
      <c r="A70" s="1"/>
      <c r="B70" s="1"/>
      <c r="C70" s="1"/>
      <c r="D70" s="1"/>
      <c r="E70" s="1"/>
      <c r="F70" s="1"/>
      <c r="G70" s="78"/>
      <c r="H70" s="78"/>
      <c r="I70" s="78"/>
      <c r="J70" s="82"/>
      <c r="K70" s="1"/>
    </row>
    <row r="71" ht="12.75" customHeight="1">
      <c r="A71" s="1"/>
      <c r="B71" s="1"/>
      <c r="C71" s="1"/>
      <c r="D71" s="1"/>
      <c r="E71" s="1"/>
      <c r="F71" s="1"/>
      <c r="G71" s="97" t="s">
        <v>119</v>
      </c>
      <c r="H71" s="97" t="s">
        <v>120</v>
      </c>
      <c r="I71" s="98" t="s">
        <v>121</v>
      </c>
      <c r="J71" s="50"/>
      <c r="K71" s="1"/>
    </row>
    <row r="72" ht="12.75" customHeight="1">
      <c r="A72" s="1"/>
      <c r="B72" s="56" t="s">
        <v>153</v>
      </c>
      <c r="C72" s="99"/>
      <c r="D72" s="99"/>
      <c r="E72" s="99"/>
      <c r="F72" s="99"/>
      <c r="G72" s="100">
        <f>IF($F$41="III",0.07*$G$69,0.09*$G$69)</f>
        <v>0.4038461538</v>
      </c>
      <c r="H72" s="100">
        <f>IF($I$41="III",0.07*$H$69,0.09*$H$69)</f>
        <v>0</v>
      </c>
      <c r="I72" s="101">
        <f>$I$69</f>
        <v>0</v>
      </c>
      <c r="J72" s="50"/>
      <c r="K72" s="1"/>
    </row>
    <row r="73" ht="12.75" customHeight="1">
      <c r="A73" s="1"/>
      <c r="B73" s="56" t="s">
        <v>123</v>
      </c>
      <c r="C73" s="99"/>
      <c r="D73" s="99"/>
      <c r="E73" s="99"/>
      <c r="F73" s="99"/>
      <c r="G73" s="102">
        <f>$G$72+$H$72+$I$72</f>
        <v>0.4038461538</v>
      </c>
      <c r="H73" s="103"/>
      <c r="I73" s="103"/>
      <c r="J73" s="50"/>
      <c r="K73" s="1"/>
    </row>
    <row r="74" ht="12.75" customHeight="1">
      <c r="A74" s="1"/>
      <c r="B74" s="1"/>
      <c r="C74" s="1"/>
      <c r="D74" s="1"/>
      <c r="E74" s="1"/>
      <c r="F74" s="1"/>
      <c r="G74" s="78"/>
      <c r="H74" s="6"/>
      <c r="I74" s="6"/>
      <c r="J74" s="6"/>
      <c r="K74" s="1"/>
    </row>
    <row r="75" ht="12.75" customHeight="1">
      <c r="A75" s="1" t="s">
        <v>124</v>
      </c>
      <c r="B75" s="4" t="s">
        <v>125</v>
      </c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 t="s">
        <v>126</v>
      </c>
      <c r="C77" s="104" t="str">
        <f>C5</f>
        <v/>
      </c>
      <c r="D77" s="3"/>
      <c r="E77" s="1" t="s">
        <v>127</v>
      </c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 t="s">
        <v>128</v>
      </c>
      <c r="C80" s="82">
        <f>$G$69</f>
        <v>5.769230769</v>
      </c>
      <c r="D80" s="8" t="s">
        <v>129</v>
      </c>
      <c r="E80" s="105">
        <f>$F$45</f>
        <v>1.111734615</v>
      </c>
      <c r="F80" s="3"/>
      <c r="G80" s="1"/>
      <c r="H80" s="106" t="s">
        <v>130</v>
      </c>
      <c r="I80" s="107">
        <f t="shared" ref="I80:I82" si="6">C80*E80</f>
        <v>6.41385355</v>
      </c>
      <c r="J80" s="3"/>
      <c r="K80" s="1"/>
    </row>
    <row r="81" ht="12.75" customHeight="1">
      <c r="A81" s="1"/>
      <c r="B81" s="1" t="s">
        <v>131</v>
      </c>
      <c r="C81" s="82">
        <f>$H$69</f>
        <v>0</v>
      </c>
      <c r="D81" s="8" t="s">
        <v>129</v>
      </c>
      <c r="E81" s="108">
        <f>$I$45</f>
        <v>0</v>
      </c>
      <c r="F81" s="3"/>
      <c r="G81" s="1"/>
      <c r="H81" s="106" t="s">
        <v>130</v>
      </c>
      <c r="I81" s="107">
        <f t="shared" si="6"/>
        <v>0</v>
      </c>
      <c r="J81" s="3"/>
      <c r="K81" s="1"/>
    </row>
    <row r="82" ht="12.75" customHeight="1">
      <c r="A82" s="1"/>
      <c r="B82" s="1" t="s">
        <v>132</v>
      </c>
      <c r="C82" s="82">
        <f>$I$69</f>
        <v>0</v>
      </c>
      <c r="D82" s="8" t="s">
        <v>129</v>
      </c>
      <c r="E82" s="108">
        <f>IF($I$69=0,0,$F$46)</f>
        <v>0</v>
      </c>
      <c r="F82" s="3"/>
      <c r="G82" s="1"/>
      <c r="H82" s="106" t="s">
        <v>130</v>
      </c>
      <c r="I82" s="107">
        <f t="shared" si="6"/>
        <v>0</v>
      </c>
      <c r="J82" s="3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25" t="s">
        <v>133</v>
      </c>
      <c r="I83" s="107">
        <f>SUM(I80:I82)</f>
        <v>6.41385355</v>
      </c>
      <c r="J83" s="3"/>
      <c r="K83" s="1"/>
    </row>
    <row r="84" ht="12.75" customHeight="1">
      <c r="A84" s="1"/>
      <c r="B84" s="1"/>
      <c r="C84" s="6"/>
      <c r="D84" s="1"/>
      <c r="E84" s="1"/>
      <c r="F84" s="1"/>
      <c r="G84" s="1"/>
      <c r="H84" s="109"/>
      <c r="I84" s="3"/>
      <c r="J84" s="109"/>
      <c r="K84" s="3"/>
    </row>
    <row r="85" ht="12.75" customHeight="1">
      <c r="A85" s="1"/>
      <c r="B85" s="1"/>
      <c r="C85" s="1"/>
      <c r="D85" s="1"/>
      <c r="E85" s="1"/>
      <c r="F85" s="1"/>
      <c r="G85" s="25"/>
      <c r="H85" s="107"/>
      <c r="I85" s="3"/>
      <c r="J85" s="107"/>
      <c r="K85" s="3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10" t="s">
        <v>134</v>
      </c>
      <c r="D87" s="111" t="s">
        <v>135</v>
      </c>
      <c r="E87" s="112" t="s">
        <v>136</v>
      </c>
      <c r="F87" s="53"/>
      <c r="G87" s="47"/>
      <c r="H87" s="3"/>
      <c r="I87" s="4"/>
      <c r="J87" s="1"/>
      <c r="K87" s="1"/>
    </row>
    <row r="88" ht="12.75" customHeight="1">
      <c r="A88" s="1"/>
      <c r="B88" s="1"/>
      <c r="C88" s="113">
        <f>$I$83*52/12</f>
        <v>27.79336538</v>
      </c>
      <c r="D88" s="114">
        <f>$C$88*12</f>
        <v>333.5203846</v>
      </c>
      <c r="E88" s="115">
        <f>$G$73/36</f>
        <v>0.01121794872</v>
      </c>
      <c r="F88" s="55"/>
      <c r="G88" s="116"/>
      <c r="H88" s="3"/>
      <c r="I88" s="1"/>
      <c r="J88" s="1"/>
      <c r="K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05"/>
      <c r="K89" s="3"/>
    </row>
    <row r="90" ht="12.75" customHeight="1">
      <c r="A90" s="1"/>
      <c r="B90" s="27" t="str">
        <f>IF($F$54=0,"Geen diensten toegewezen",IF(Verdeling!$M$46=Verdeling!$F$30,"","Diensten niet juist verdeeld. Zie blad 'Verdeling'"))</f>
        <v/>
      </c>
      <c r="C90" s="1"/>
      <c r="D90" s="1"/>
      <c r="E90" s="1"/>
      <c r="F90" s="117" t="str">
        <f>IF(OR(Cantor!$F$53&gt;4,('KM1'!$F$55+'KM2'!$F$55+'KM3'!$F$55+'KM4'!$F$55+'KM5'!$F$55)&gt;4),"","vorming is onjuist ingevuld")</f>
        <v/>
      </c>
      <c r="G90" s="1"/>
      <c r="H90" s="1"/>
      <c r="I90" s="1"/>
      <c r="J90" s="1"/>
      <c r="K90" s="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0">
    <mergeCell ref="B65:D65"/>
    <mergeCell ref="B66:D66"/>
    <mergeCell ref="B67:D67"/>
    <mergeCell ref="B68:D68"/>
    <mergeCell ref="F45:G45"/>
    <mergeCell ref="F46:G46"/>
    <mergeCell ref="C54:D54"/>
    <mergeCell ref="B61:D61"/>
    <mergeCell ref="B62:D62"/>
    <mergeCell ref="B63:D63"/>
    <mergeCell ref="B64:D64"/>
    <mergeCell ref="E81:F81"/>
    <mergeCell ref="E82:F82"/>
    <mergeCell ref="E87:F87"/>
    <mergeCell ref="E88:F88"/>
    <mergeCell ref="I71:J71"/>
    <mergeCell ref="I72:J72"/>
    <mergeCell ref="G73:J73"/>
    <mergeCell ref="C77:D77"/>
    <mergeCell ref="E80:F80"/>
    <mergeCell ref="I80:J80"/>
    <mergeCell ref="I81:J81"/>
    <mergeCell ref="G88:H88"/>
    <mergeCell ref="J89:K89"/>
    <mergeCell ref="I82:J82"/>
    <mergeCell ref="I83:J83"/>
    <mergeCell ref="H84:I84"/>
    <mergeCell ref="J84:K84"/>
    <mergeCell ref="H85:I85"/>
    <mergeCell ref="J85:K85"/>
    <mergeCell ref="G87:H87"/>
    <mergeCell ref="A2:I2"/>
    <mergeCell ref="I3:J3"/>
    <mergeCell ref="C5:D5"/>
    <mergeCell ref="I5:J5"/>
    <mergeCell ref="C8:D8"/>
    <mergeCell ref="C9:D9"/>
    <mergeCell ref="C11:D11"/>
    <mergeCell ref="C12:D12"/>
    <mergeCell ref="C14:D14"/>
    <mergeCell ref="I14:K14"/>
    <mergeCell ref="I15:K15"/>
    <mergeCell ref="H21:J21"/>
    <mergeCell ref="H22:J22"/>
    <mergeCell ref="I26:J26"/>
    <mergeCell ref="F26:H26"/>
    <mergeCell ref="F27:H27"/>
    <mergeCell ref="I27:J27"/>
    <mergeCell ref="F32:G32"/>
    <mergeCell ref="F35:G35"/>
    <mergeCell ref="I35:J35"/>
    <mergeCell ref="I36:J36"/>
    <mergeCell ref="F36:G36"/>
    <mergeCell ref="F37:G37"/>
    <mergeCell ref="F38:G38"/>
    <mergeCell ref="F39:G39"/>
    <mergeCell ref="F41:G41"/>
    <mergeCell ref="F42:G42"/>
    <mergeCell ref="F43:G43"/>
    <mergeCell ref="I37:J37"/>
    <mergeCell ref="I38:J38"/>
    <mergeCell ref="I39:J39"/>
    <mergeCell ref="I41:J41"/>
    <mergeCell ref="I42:J42"/>
    <mergeCell ref="I43:J43"/>
    <mergeCell ref="I45:J45"/>
    <mergeCell ref="I46:J46"/>
    <mergeCell ref="I51:J51"/>
    <mergeCell ref="I54:J54"/>
    <mergeCell ref="I55:J55"/>
    <mergeCell ref="I56:J56"/>
    <mergeCell ref="I57:J57"/>
    <mergeCell ref="I60:J60"/>
    <mergeCell ref="I61:J61"/>
    <mergeCell ref="I62:J62"/>
    <mergeCell ref="I63:J63"/>
    <mergeCell ref="I66:J66"/>
    <mergeCell ref="I67:J67"/>
    <mergeCell ref="I68:J68"/>
    <mergeCell ref="I69:J69"/>
  </mergeCell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25.0"/>
    <col customWidth="1" min="3" max="3" width="18.88"/>
    <col customWidth="1" min="4" max="4" width="17.0"/>
    <col customWidth="1" min="5" max="10" width="9.13"/>
    <col customWidth="1" min="11" max="11" width="11.25"/>
    <col customWidth="1" min="12" max="26" width="14.38"/>
  </cols>
  <sheetData>
    <row r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2.75" customHeight="1">
      <c r="A2" s="2" t="s">
        <v>154</v>
      </c>
      <c r="B2" s="3"/>
      <c r="C2" s="3"/>
      <c r="D2" s="3"/>
      <c r="E2" s="3"/>
      <c r="F2" s="3"/>
      <c r="G2" s="3"/>
      <c r="H2" s="3"/>
      <c r="I2" s="3"/>
      <c r="J2" s="32"/>
      <c r="K2" s="32"/>
    </row>
    <row r="3" ht="12.75" customHeight="1">
      <c r="A3" s="1"/>
      <c r="B3" s="1"/>
      <c r="C3" s="1"/>
      <c r="D3" s="1"/>
      <c r="E3" s="1" t="s">
        <v>45</v>
      </c>
      <c r="F3" s="1"/>
      <c r="G3" s="1"/>
      <c r="H3" s="1"/>
      <c r="I3" s="33">
        <v>38357.0</v>
      </c>
      <c r="J3" s="3"/>
      <c r="K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34"/>
      <c r="K4" s="1"/>
    </row>
    <row r="5" ht="12.75" customHeight="1">
      <c r="A5" s="1" t="s">
        <v>46</v>
      </c>
      <c r="B5" s="1" t="s">
        <v>47</v>
      </c>
      <c r="C5" s="35"/>
      <c r="D5" s="3"/>
      <c r="E5" s="1"/>
      <c r="F5" s="1"/>
      <c r="G5" s="25" t="s">
        <v>49</v>
      </c>
      <c r="H5" s="1"/>
      <c r="I5" s="33">
        <v>23743.0</v>
      </c>
      <c r="J5" s="3"/>
      <c r="K5" s="1"/>
    </row>
    <row r="6" ht="12.75" customHeight="1">
      <c r="A6" s="1"/>
      <c r="B6" s="1" t="s">
        <v>50</v>
      </c>
      <c r="C6" s="36"/>
      <c r="D6" s="11"/>
      <c r="E6" s="1"/>
      <c r="F6" s="1"/>
      <c r="G6" s="25" t="s">
        <v>51</v>
      </c>
      <c r="H6" s="37">
        <f>IF(DATE(YEAR($I$3),MONTH(I5),DAY(I5))&lt;=$I$3,YEAR($I$3)-YEAR(I5),YEAR($I$3)-YEAR(I5)-1)</f>
        <v>40</v>
      </c>
      <c r="I6" s="1"/>
      <c r="J6" s="1"/>
      <c r="K6" s="1"/>
    </row>
    <row r="7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</row>
    <row r="8" ht="12.75" customHeight="1">
      <c r="A8" s="1"/>
      <c r="B8" s="1" t="s">
        <v>52</v>
      </c>
      <c r="C8" s="35"/>
      <c r="D8" s="3"/>
      <c r="E8" s="1"/>
      <c r="F8" s="1"/>
      <c r="G8" s="1"/>
      <c r="H8" s="1"/>
      <c r="I8" s="1"/>
      <c r="J8" s="1"/>
      <c r="K8" s="1"/>
    </row>
    <row r="9" ht="12.75" customHeight="1">
      <c r="A9" s="1"/>
      <c r="B9" s="1" t="s">
        <v>54</v>
      </c>
      <c r="C9" s="35"/>
      <c r="D9" s="3"/>
      <c r="E9" s="1"/>
      <c r="F9" s="1"/>
      <c r="G9" s="1"/>
      <c r="H9" s="1"/>
      <c r="I9" s="1"/>
      <c r="J9" s="1"/>
      <c r="K9" s="1"/>
    </row>
    <row r="10" ht="12.75" customHeight="1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</row>
    <row r="11" ht="12.75" customHeight="1">
      <c r="A11" s="1"/>
      <c r="B11" s="1" t="s">
        <v>56</v>
      </c>
      <c r="C11" s="35"/>
      <c r="D11" s="3"/>
      <c r="E11" s="1"/>
      <c r="F11" s="1"/>
      <c r="G11" s="1"/>
      <c r="H11" s="1"/>
      <c r="I11" s="1"/>
      <c r="J11" s="1"/>
      <c r="K11" s="1"/>
    </row>
    <row r="12" ht="12.75" customHeight="1">
      <c r="A12" s="1"/>
      <c r="B12" s="1" t="s">
        <v>58</v>
      </c>
      <c r="C12" s="118"/>
      <c r="D12" s="3"/>
      <c r="E12" s="1"/>
      <c r="F12" s="27" t="str">
        <f>IF(OR(C14="organist",C14="cantor-organist"),"","benaming aanstelling onjuist")</f>
        <v/>
      </c>
      <c r="G12" s="1"/>
      <c r="H12" s="1"/>
      <c r="I12" s="1"/>
      <c r="J12" s="1"/>
      <c r="K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>
      <c r="A14" s="1"/>
      <c r="B14" s="1" t="s">
        <v>60</v>
      </c>
      <c r="C14" s="39" t="s">
        <v>138</v>
      </c>
      <c r="D14" s="3"/>
      <c r="E14" s="1" t="s">
        <v>62</v>
      </c>
      <c r="F14" s="1"/>
      <c r="G14" s="1"/>
      <c r="H14" s="1"/>
      <c r="I14" s="29" t="str">
        <f>'KM1'!I14</f>
        <v>Voorbeeld</v>
      </c>
      <c r="J14" s="3"/>
      <c r="K14" s="3"/>
    </row>
    <row r="15" ht="12.75" customHeight="1">
      <c r="A15" s="1"/>
      <c r="B15" s="27" t="str">
        <f>IF(C14="cantor","voor cantor: zie werkblad Cantor","")</f>
        <v/>
      </c>
      <c r="C15" s="1"/>
      <c r="D15" s="1"/>
      <c r="E15" s="1"/>
      <c r="F15" s="1"/>
      <c r="G15" s="8" t="s">
        <v>64</v>
      </c>
      <c r="H15" s="1"/>
      <c r="I15" s="29" t="str">
        <f>'KM1'!$I$15</f>
        <v>Grote Kerk</v>
      </c>
      <c r="J15" s="3"/>
      <c r="K15" s="3"/>
    </row>
    <row r="16" ht="12.75" customHeight="1">
      <c r="A16" s="1"/>
      <c r="B16" s="1"/>
      <c r="C16" s="1"/>
      <c r="D16" s="25"/>
      <c r="E16" s="1"/>
      <c r="F16" s="4"/>
      <c r="G16" s="1"/>
      <c r="H16" s="1"/>
      <c r="I16" s="1"/>
      <c r="J16" s="1"/>
      <c r="K16" s="1"/>
    </row>
    <row r="17" ht="12.75" customHeight="1">
      <c r="A17" s="1"/>
      <c r="B17" s="1" t="s">
        <v>66</v>
      </c>
      <c r="C17" s="5" t="str">
        <f>I15</f>
        <v>Grote Kerk</v>
      </c>
      <c r="D17" s="25"/>
      <c r="E17" s="1" t="s">
        <v>67</v>
      </c>
      <c r="F17" s="4"/>
      <c r="G17" s="1"/>
      <c r="H17" s="1"/>
      <c r="I17" s="6">
        <f>'KM1'!$I$17</f>
        <v>5</v>
      </c>
      <c r="J17" s="1" t="s">
        <v>68</v>
      </c>
      <c r="K17" s="1"/>
    </row>
    <row r="18" ht="12.75" customHeight="1">
      <c r="A18" s="1"/>
      <c r="B18" s="1"/>
      <c r="C18" s="1"/>
      <c r="D18" s="25"/>
      <c r="E18" s="1"/>
      <c r="F18" s="4"/>
      <c r="G18" s="25"/>
      <c r="H18" s="1"/>
      <c r="I18" s="37"/>
      <c r="J18" s="1"/>
      <c r="K18" s="1"/>
    </row>
    <row r="19" ht="12.75" customHeight="1">
      <c r="A19" s="1" t="s">
        <v>1</v>
      </c>
      <c r="B19" s="4" t="s">
        <v>69</v>
      </c>
      <c r="C19" s="1"/>
      <c r="D19" s="1"/>
      <c r="E19" s="1"/>
      <c r="F19" s="1"/>
      <c r="G19" s="1"/>
      <c r="H19" s="1"/>
      <c r="I19" s="1"/>
      <c r="J19" s="1"/>
      <c r="K19" s="1"/>
    </row>
    <row r="20" ht="12.75" customHeight="1">
      <c r="A20" s="1"/>
      <c r="B20" s="1" t="s">
        <v>70</v>
      </c>
      <c r="C20" s="1"/>
      <c r="D20" s="1"/>
      <c r="E20" s="1"/>
      <c r="F20" s="1"/>
      <c r="G20" s="1"/>
      <c r="H20" s="1"/>
      <c r="I20" s="1"/>
      <c r="J20" s="1"/>
      <c r="K20" s="1"/>
    </row>
    <row r="21" ht="12.75" customHeight="1">
      <c r="A21" s="1"/>
      <c r="B21" s="24" t="s">
        <v>71</v>
      </c>
      <c r="C21" s="6" t="str">
        <f>'KM1'!C21</f>
        <v>iii</v>
      </c>
      <c r="D21" s="40" t="str">
        <f t="shared" ref="D21:D22" si="1">IF(C21="I","",IF(C21="II","",IF(C21="III","",IF(C21="nvt","","  onjuiste invoer"))))</f>
        <v/>
      </c>
      <c r="E21" s="1"/>
      <c r="F21" s="1"/>
      <c r="G21" s="25" t="s">
        <v>73</v>
      </c>
      <c r="H21" s="119">
        <f>'KM1'!H21</f>
        <v>36161</v>
      </c>
      <c r="I21" s="3"/>
      <c r="J21" s="3"/>
      <c r="K21" s="1"/>
    </row>
    <row r="22" ht="12.75" customHeight="1">
      <c r="A22" s="1"/>
      <c r="B22" s="24" t="s">
        <v>74</v>
      </c>
      <c r="C22" s="6" t="str">
        <f>'KM1'!C22</f>
        <v>I</v>
      </c>
      <c r="D22" s="40" t="str">
        <f t="shared" si="1"/>
        <v/>
      </c>
      <c r="E22" s="1"/>
      <c r="F22" s="1"/>
      <c r="G22" s="25" t="s">
        <v>73</v>
      </c>
      <c r="H22" s="119">
        <f>'KM1'!H22</f>
        <v>36526</v>
      </c>
      <c r="I22" s="3"/>
      <c r="J22" s="3"/>
      <c r="K22" s="1"/>
    </row>
    <row r="23" ht="12.75" customHeight="1">
      <c r="A23" s="1"/>
      <c r="B23" s="41" t="str">
        <f>IF(OR($C$21="I",$C$21="II",$C$21="III"),"","functieniveau orgel niet juist ingevuld")</f>
        <v/>
      </c>
      <c r="C23" s="1"/>
      <c r="D23" s="42" t="str">
        <f>IF(AND(C21="nvt",C22="nvt"),"welke functie is van toepassing?"," ")</f>
        <v> </v>
      </c>
      <c r="E23" s="1"/>
      <c r="F23" s="1"/>
      <c r="G23" s="1"/>
      <c r="H23" s="1"/>
      <c r="I23" s="1"/>
      <c r="J23" s="1"/>
      <c r="K23" s="1"/>
    </row>
    <row r="24" ht="12.75" customHeight="1">
      <c r="A24" s="1" t="s">
        <v>32</v>
      </c>
      <c r="B24" s="4" t="s">
        <v>76</v>
      </c>
      <c r="C24" s="8"/>
      <c r="D24" s="8"/>
      <c r="E24" s="1"/>
      <c r="F24" s="1"/>
      <c r="G24" s="1"/>
      <c r="H24" s="1"/>
      <c r="I24" s="1"/>
      <c r="J24" s="1"/>
      <c r="K24" s="1"/>
    </row>
    <row r="25" ht="12.75" customHeight="1">
      <c r="A25" s="1"/>
      <c r="B25" s="1" t="s">
        <v>77</v>
      </c>
      <c r="C25" s="8"/>
      <c r="D25" s="40" t="str">
        <f>IF(C26="I","",IF(C26="II","",IF(C26="III","",IF(C26="geen","","onjuiste invoer orgel"))))</f>
        <v/>
      </c>
      <c r="E25" s="1"/>
      <c r="F25" s="40" t="str">
        <f>IF(C27="I","",IF(C27="II","",IF(C27="III","",IF(C27="geen","","onjuiste invoer cantoraat"))))</f>
        <v/>
      </c>
      <c r="G25" s="1"/>
      <c r="H25" s="1"/>
      <c r="I25" s="1"/>
      <c r="J25" s="28" t="str">
        <f>IF(OR(C26="I",C26="II",C26="III"),IF(I26&gt;I5,IF(I26&lt;I3,"","onjuist"),"datum ligt voor geboortedatum"),IF(C26="geen",IF(I26="nvt","","onjuist"),"onjuist"))</f>
        <v/>
      </c>
      <c r="K25" s="1"/>
    </row>
    <row r="26" ht="12.75" customHeight="1">
      <c r="A26" s="1"/>
      <c r="B26" s="24" t="s">
        <v>71</v>
      </c>
      <c r="C26" s="7" t="s">
        <v>139</v>
      </c>
      <c r="D26" s="1"/>
      <c r="E26" s="25" t="s">
        <v>79</v>
      </c>
      <c r="F26" s="43"/>
      <c r="G26" s="3"/>
      <c r="H26" s="3"/>
      <c r="I26" s="33" t="s">
        <v>140</v>
      </c>
      <c r="J26" s="3"/>
      <c r="K26" s="1"/>
    </row>
    <row r="27" ht="12.75" customHeight="1">
      <c r="A27" s="1"/>
      <c r="B27" s="24" t="s">
        <v>74</v>
      </c>
      <c r="C27" s="7" t="s">
        <v>139</v>
      </c>
      <c r="D27" s="44"/>
      <c r="E27" s="25" t="s">
        <v>79</v>
      </c>
      <c r="F27" s="43"/>
      <c r="G27" s="3"/>
      <c r="H27" s="3"/>
      <c r="I27" s="33" t="s">
        <v>140</v>
      </c>
      <c r="J27" s="3"/>
      <c r="K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28" t="str">
        <f>IF(OR(C27="I",C27="II",C27="III"),IF(I27&gt;I5,IF(I27&lt;I3,"","onjuist"),"datum ligt voor geboortedatum"),IF(C27="geen",IF(I27="nvt","","onjuist"),"onjuist"))</f>
        <v/>
      </c>
      <c r="K28" s="1"/>
    </row>
    <row r="29" ht="12.75" customHeight="1">
      <c r="A29" s="1" t="s">
        <v>81</v>
      </c>
      <c r="B29" s="4" t="s">
        <v>82</v>
      </c>
      <c r="C29" s="1"/>
      <c r="D29" s="1"/>
      <c r="E29" s="1"/>
      <c r="F29" s="1"/>
      <c r="G29" s="1"/>
      <c r="H29" s="1"/>
      <c r="I29" s="1"/>
      <c r="J29" s="1"/>
      <c r="K29" s="28" t="s">
        <v>83</v>
      </c>
    </row>
    <row r="30" ht="12.75" customHeight="1">
      <c r="A30" s="1"/>
      <c r="B30" s="4"/>
      <c r="C30" s="1"/>
      <c r="D30" s="1"/>
      <c r="E30" s="1"/>
      <c r="F30" s="4"/>
      <c r="G30" s="1"/>
      <c r="H30" s="1"/>
      <c r="I30" s="4"/>
      <c r="J30" s="1"/>
      <c r="K30" s="1"/>
    </row>
    <row r="31" ht="16.5" customHeight="1">
      <c r="A31" s="1"/>
      <c r="B31" s="1" t="s">
        <v>84</v>
      </c>
      <c r="C31" s="5" t="str">
        <f>$I$14</f>
        <v>Voorbeeld</v>
      </c>
      <c r="D31" s="1"/>
      <c r="E31" s="40" t="str">
        <f>IF($E$36&gt;0,IF($F$37="onbev","onbevoegd, geen dienstjaren orgel vorige betrekkingen","" ),"")</f>
        <v/>
      </c>
      <c r="F31" s="1"/>
      <c r="G31" s="1"/>
      <c r="H31" s="1"/>
      <c r="I31" s="1"/>
      <c r="J31" s="1"/>
      <c r="K31" s="1"/>
    </row>
    <row r="32" ht="12.75" customHeight="1">
      <c r="A32" s="1"/>
      <c r="B32" s="1" t="s">
        <v>85</v>
      </c>
      <c r="C32" s="1"/>
      <c r="D32" s="1"/>
      <c r="E32" s="1"/>
      <c r="F32" s="33">
        <v>29403.0</v>
      </c>
      <c r="G32" s="3"/>
      <c r="H32" s="1"/>
      <c r="I32" s="40" t="str">
        <f>IF($H$36&gt;0,IF($I$37="onbev","cantor is onbevoegd, geen dienstjaren uit vorige betrekkingen","" ),"")</f>
        <v/>
      </c>
      <c r="J32" s="8"/>
      <c r="K32" s="1"/>
    </row>
    <row r="33" ht="12.75" customHeight="1">
      <c r="A33" s="1"/>
      <c r="B33" s="1"/>
      <c r="C33" s="27" t="str">
        <f>IF(OR($F$32="nvt",$F$37="onbev",E36=0),"",IF((DAYS360($I$26,$F$32)-($E$36*360-1))&gt;0,"","onjuiste invoer dienstjaren orgel vorige betrekkingen"))</f>
        <v/>
      </c>
      <c r="D33" s="1"/>
      <c r="E33" s="1"/>
      <c r="F33" s="44"/>
      <c r="G33" s="1"/>
      <c r="H33" s="1"/>
      <c r="I33" s="27" t="str">
        <f>IF($F$32="nvt","",IF((DAYS360($I$5,$F$32))&gt;0,"","benoemingsdatum is in strijd met geboortedatum"))</f>
        <v/>
      </c>
      <c r="J33" s="1"/>
      <c r="K33" s="40"/>
    </row>
    <row r="34" ht="12.75" customHeight="1">
      <c r="A34" s="1"/>
      <c r="B34" s="1"/>
      <c r="C34" s="1"/>
      <c r="D34" s="27"/>
      <c r="E34" s="1"/>
      <c r="F34" s="27" t="str">
        <f>IF(OR($F$32="nvt",$I$37="onbev",$H$36=0),"",IF((DAYS360($I$27,$F$32)-($H$36*360-1))&gt;0,"","onjuiste invoer dienstjaren cantoraat vorige betrekkingen"))</f>
        <v/>
      </c>
      <c r="G34" s="1"/>
      <c r="H34" s="1"/>
      <c r="I34" s="4"/>
      <c r="J34" s="1"/>
      <c r="K34" s="40"/>
    </row>
    <row r="35" ht="12.75" customHeight="1">
      <c r="A35" s="1"/>
      <c r="B35" s="1"/>
      <c r="C35" s="1"/>
      <c r="D35" s="27"/>
      <c r="E35" s="1"/>
      <c r="F35" s="46" t="s">
        <v>86</v>
      </c>
      <c r="G35" s="3"/>
      <c r="H35" s="1"/>
      <c r="I35" s="29" t="s">
        <v>87</v>
      </c>
      <c r="J35" s="3"/>
      <c r="K35" s="1"/>
    </row>
    <row r="36" ht="12.75" customHeight="1">
      <c r="A36" s="1"/>
      <c r="B36" s="1" t="s">
        <v>88</v>
      </c>
      <c r="C36" s="1"/>
      <c r="D36" s="1"/>
      <c r="E36" s="7">
        <v>0.0</v>
      </c>
      <c r="F36" s="47">
        <f>IF(OR($C$26="geen",$I$26="nvt"),0,IF((DAYS360($I$26,$F$32)-($E$36*360-1))&gt;0,$E$36,0))</f>
        <v>0</v>
      </c>
      <c r="G36" s="3"/>
      <c r="H36" s="7">
        <v>0.0</v>
      </c>
      <c r="I36" s="47">
        <f>IF(OR($C$27="geen",$I$27="nvt"),0,IF((DAYS360($I$27,$F$32)-($H$36*360-1))&gt;0,$H$36,0))</f>
        <v>0</v>
      </c>
      <c r="J36" s="3"/>
      <c r="K36" s="1"/>
    </row>
    <row r="37" ht="12.75" customHeight="1">
      <c r="A37" s="1"/>
      <c r="B37" s="1" t="s">
        <v>89</v>
      </c>
      <c r="C37" s="1"/>
      <c r="D37" s="8"/>
      <c r="E37" s="1"/>
      <c r="F37" s="47" t="str">
        <f>IF($I$26="nvt","onbev",IF($F$26="nvt",0,IF($F$32&gt;$I$26,ROUNDDOWN(($I$3-$F$32)/365,0),IF($I$3&gt;$I$26,ROUNDDOWN(($I$3-$I$26)/365,0),0))))</f>
        <v>onbev</v>
      </c>
      <c r="G37" s="3"/>
      <c r="H37" s="1"/>
      <c r="I37" s="47" t="str">
        <f>IF($I$27="nvt","onbev",IF($F$27="nvt",0,IF($F$32&gt;$I$27,ROUNDDOWN(($I$3-$F$32)/365,0),IF($I$3&gt;$I$27,ROUNDDOWN(($I$3-$I$27)/365,0),0))))</f>
        <v>onbev</v>
      </c>
      <c r="J37" s="3"/>
      <c r="K37" s="1"/>
    </row>
    <row r="38" ht="12.75" customHeight="1">
      <c r="A38" s="1"/>
      <c r="B38" s="1"/>
      <c r="C38" s="6"/>
      <c r="D38" s="48" t="s">
        <v>90</v>
      </c>
      <c r="E38" s="1"/>
      <c r="F38" s="47">
        <f>IF($F$37="onbev",0,($F$36+$F$37))</f>
        <v>0</v>
      </c>
      <c r="G38" s="3"/>
      <c r="H38" s="1"/>
      <c r="I38" s="47">
        <f>IF($I$37="onbev",0,($I$36+$I$37))</f>
        <v>0</v>
      </c>
      <c r="J38" s="3"/>
      <c r="K38" s="1"/>
    </row>
    <row r="39" ht="12.75" customHeight="1">
      <c r="A39" s="1"/>
      <c r="B39" s="1"/>
      <c r="C39" s="6"/>
      <c r="D39" s="48" t="s">
        <v>91</v>
      </c>
      <c r="E39" s="1"/>
      <c r="F39" s="49">
        <f>IF($C$21="III",IF($F$38&gt;10,10,$F$38),IF($F$38&gt;9,"10",$F$38))</f>
        <v>0</v>
      </c>
      <c r="G39" s="50"/>
      <c r="H39" s="1"/>
      <c r="I39" s="49">
        <f>IF($C$22="III",IF($I$38&gt;10,10,$I$38),IF($I$38&gt;9,"10",$I$38))</f>
        <v>0</v>
      </c>
      <c r="J39" s="50"/>
      <c r="K39" s="1"/>
    </row>
    <row r="40" ht="12.75" customHeight="1">
      <c r="A40" s="1"/>
      <c r="B40" s="4"/>
      <c r="C40" s="6"/>
      <c r="D40" s="51"/>
      <c r="E40" s="1"/>
      <c r="F40" s="6"/>
      <c r="G40" s="1"/>
      <c r="H40" s="1"/>
      <c r="I40" s="6"/>
      <c r="J40" s="1"/>
      <c r="K40" s="1"/>
    </row>
    <row r="41" ht="12.75" customHeight="1">
      <c r="A41" s="1"/>
      <c r="B41" s="1"/>
      <c r="C41" s="6"/>
      <c r="D41" s="51"/>
      <c r="E41" s="25" t="s">
        <v>155</v>
      </c>
      <c r="F41" s="47" t="str">
        <f>IF($C$26=$C$21,$C$21,IF($C$26&lt;$C$21,$C$21,IF(AND($C$26&gt;$C$21,$F$39&gt;2),IF($C$26="III",$C$21,$C$26),$C$21)))</f>
        <v>iii</v>
      </c>
      <c r="G41" s="3"/>
      <c r="H41" s="25"/>
      <c r="I41" s="47" t="str">
        <f>IF($C$27=$C$22,$C$22,IF($C$27&lt;$C$22,$C$22,IF(AND($C$27&gt;$C$22,$I$39&gt;2),IF($C$27="III",$C$22,$C$27),$C$22)))</f>
        <v>I</v>
      </c>
      <c r="J41" s="3"/>
      <c r="K41" s="1"/>
    </row>
    <row r="42" ht="12.75" customHeight="1">
      <c r="A42" s="1"/>
      <c r="B42" s="1"/>
      <c r="C42" s="6"/>
      <c r="D42" s="1"/>
      <c r="E42" s="48" t="s">
        <v>93</v>
      </c>
      <c r="F42" s="47">
        <f>IF($C$26=$C$21,$F$39,IF($C$26&lt;$C$21,$F$39,IF(AND($C$26&gt;$C$21,$F$39&gt;2),IF($C$26="III",0,$F$39),0)))</f>
        <v>0</v>
      </c>
      <c r="G42" s="3"/>
      <c r="H42" s="48"/>
      <c r="I42" s="47">
        <f>IF($C$27=$C$22,$I$39,IF($C$27&lt;$C$22,$I$39,IF(AND($C$27&gt;$C$22,$I$39&gt;2),IF($C$27="III",0,$I$39),0)))</f>
        <v>0</v>
      </c>
      <c r="J42" s="3"/>
      <c r="K42" s="1"/>
    </row>
    <row r="43" ht="12.75" hidden="1" customHeight="1">
      <c r="A43" s="1"/>
      <c r="B43" s="1"/>
      <c r="C43" s="1"/>
      <c r="D43" s="1"/>
      <c r="E43" s="48" t="s">
        <v>94</v>
      </c>
      <c r="F43" s="47" t="str">
        <f>CONCATENATE(F41,".",F42)</f>
        <v>iii.0</v>
      </c>
      <c r="G43" s="3"/>
      <c r="H43" s="48"/>
      <c r="I43" s="47" t="str">
        <f>CONCATENATE(I41,".",I42)</f>
        <v>I.0</v>
      </c>
      <c r="J43" s="3"/>
      <c r="K43" s="1"/>
    </row>
    <row r="44" ht="12.75" customHeight="1">
      <c r="A44" s="1"/>
      <c r="B44" s="1"/>
      <c r="C44" s="6"/>
      <c r="D44" s="51"/>
      <c r="E44" s="1"/>
      <c r="F44" s="6"/>
      <c r="G44" s="1"/>
      <c r="H44" s="1"/>
      <c r="I44" s="6"/>
      <c r="J44" s="1"/>
      <c r="K44" s="1"/>
    </row>
    <row r="45" ht="12.75" customHeight="1">
      <c r="A45" s="1"/>
      <c r="B45" s="1" t="s">
        <v>95</v>
      </c>
      <c r="C45" s="6"/>
      <c r="D45" s="51"/>
      <c r="E45" s="1"/>
      <c r="F45" s="52">
        <f>IF($F$32="nvt",0,VLOOKUP($F$43,Salaristabellen!A8:H46,8,FALSE))</f>
        <v>1.017283974</v>
      </c>
      <c r="G45" s="53"/>
      <c r="H45" s="1"/>
      <c r="I45" s="52">
        <f>IF(OR($F$32="nvt",$C$14="organist"),0,VLOOKUP($I$43,Salaristabellen!A8:H46,8,FALSE))</f>
        <v>0</v>
      </c>
      <c r="J45" s="53"/>
      <c r="K45" s="1"/>
    </row>
    <row r="46" ht="12.75" customHeight="1">
      <c r="A46" s="1"/>
      <c r="B46" s="1" t="s">
        <v>96</v>
      </c>
      <c r="C46" s="6"/>
      <c r="D46" s="51"/>
      <c r="E46" s="1"/>
      <c r="F46" s="54">
        <f>IF($F$32="nvt",0,VLOOKUP($F$43,Salaristabellen!A8:H46,2,FALSE)*12/(52*36))</f>
        <v>14.53262821</v>
      </c>
      <c r="G46" s="55"/>
      <c r="H46" s="1"/>
      <c r="I46" s="54">
        <f>IF(OR($F$32="nvt",$C$14="organist"),0,VLOOKUP($I$43,Salaristabellen!A8:H46,2,FALSE)*12/(52*36))</f>
        <v>0</v>
      </c>
      <c r="J46" s="55"/>
      <c r="K46" s="1"/>
    </row>
    <row r="47" ht="12.75" customHeight="1">
      <c r="A47" s="1"/>
      <c r="B47" s="1"/>
      <c r="C47" s="6"/>
      <c r="D47" s="51"/>
      <c r="E47" s="1"/>
      <c r="F47" s="1" t="str">
        <f>Salaristabellen!$G$1</f>
        <v>(salarisschalen per 1 januari 2024)</v>
      </c>
      <c r="G47" s="1"/>
      <c r="H47" s="1"/>
      <c r="I47" s="51"/>
      <c r="J47" s="8"/>
      <c r="K47" s="1"/>
    </row>
    <row r="48" ht="12.75" customHeight="1">
      <c r="A48" s="1"/>
      <c r="B48" s="1"/>
      <c r="C48" s="6"/>
      <c r="D48" s="51"/>
      <c r="E48" s="1"/>
      <c r="F48" s="1"/>
      <c r="G48" s="1"/>
      <c r="H48" s="1"/>
      <c r="I48" s="51"/>
      <c r="J48" s="8"/>
      <c r="K48" s="1"/>
    </row>
    <row r="49" ht="12.75" customHeight="1">
      <c r="A49" s="1" t="s">
        <v>97</v>
      </c>
      <c r="B49" s="4" t="s">
        <v>98</v>
      </c>
      <c r="C49" s="1"/>
      <c r="D49" s="1"/>
      <c r="E49" s="1"/>
      <c r="F49" s="1"/>
      <c r="G49" s="1"/>
      <c r="H49" s="1"/>
      <c r="I49" s="1"/>
      <c r="J49" s="1"/>
      <c r="K49" s="1"/>
    </row>
    <row r="50" ht="12.75" customHeight="1">
      <c r="A50" s="1"/>
      <c r="B50" s="1"/>
      <c r="C50" s="1"/>
      <c r="D50" s="8"/>
      <c r="E50" s="1"/>
      <c r="F50" s="1"/>
      <c r="G50" s="1"/>
      <c r="H50" s="1"/>
      <c r="I50" s="1"/>
      <c r="J50" s="1"/>
      <c r="K50" s="1"/>
    </row>
    <row r="51" ht="12.75" customHeight="1">
      <c r="A51" s="1"/>
      <c r="B51" s="56" t="s">
        <v>99</v>
      </c>
      <c r="C51" s="57" t="str">
        <f>C14</f>
        <v>organist</v>
      </c>
      <c r="D51" s="58"/>
      <c r="E51" s="59" t="s">
        <v>100</v>
      </c>
      <c r="F51" s="60" t="s">
        <v>101</v>
      </c>
      <c r="G51" s="61" t="s">
        <v>102</v>
      </c>
      <c r="H51" s="62"/>
      <c r="I51" s="49" t="s">
        <v>103</v>
      </c>
      <c r="J51" s="50"/>
      <c r="K51" s="1"/>
    </row>
    <row r="52" ht="12.75" customHeight="1">
      <c r="A52" s="1"/>
      <c r="B52" s="63" t="s">
        <v>104</v>
      </c>
      <c r="C52" s="64"/>
      <c r="D52" s="65"/>
      <c r="E52" s="8"/>
      <c r="F52" s="66"/>
      <c r="G52" s="67" t="s">
        <v>105</v>
      </c>
      <c r="H52" s="68" t="s">
        <v>106</v>
      </c>
      <c r="I52" s="69"/>
      <c r="J52" s="70"/>
      <c r="K52" s="1"/>
    </row>
    <row r="53" ht="12.75" customHeight="1">
      <c r="A53" s="1"/>
      <c r="B53" s="71" t="s">
        <v>156</v>
      </c>
      <c r="C53" s="72"/>
      <c r="D53" s="73"/>
      <c r="E53" s="8"/>
      <c r="F53" s="74">
        <f>Verdeling!$F$30</f>
        <v>60</v>
      </c>
      <c r="G53" s="8"/>
      <c r="H53" s="68"/>
      <c r="I53" s="8"/>
      <c r="J53" s="75"/>
      <c r="K53" s="1"/>
    </row>
    <row r="54" ht="12.75" customHeight="1">
      <c r="A54" s="1"/>
      <c r="B54" s="71" t="s">
        <v>108</v>
      </c>
      <c r="C54" s="21" t="str">
        <f>C5</f>
        <v/>
      </c>
      <c r="D54" s="76"/>
      <c r="E54" s="8">
        <v>30.0</v>
      </c>
      <c r="F54" s="77">
        <f>Verdeling!$M$38</f>
        <v>0</v>
      </c>
      <c r="G54" s="78">
        <f>F54*E54/52</f>
        <v>0</v>
      </c>
      <c r="H54" s="74"/>
      <c r="I54" s="47"/>
      <c r="J54" s="76"/>
      <c r="K54" s="1"/>
    </row>
    <row r="55" ht="12.75" customHeight="1">
      <c r="A55" s="1"/>
      <c r="B55" s="71" t="s">
        <v>157</v>
      </c>
      <c r="C55" s="1"/>
      <c r="D55" s="75"/>
      <c r="E55" s="8">
        <v>5.0</v>
      </c>
      <c r="F55" s="79">
        <v>0.0</v>
      </c>
      <c r="G55" s="78">
        <f>IF(AND($I$17=1,F53&gt;52),F55,F55*F54/52)</f>
        <v>0</v>
      </c>
      <c r="H55" s="77"/>
      <c r="I55" s="47"/>
      <c r="J55" s="76"/>
      <c r="K55" s="1"/>
    </row>
    <row r="56" ht="12.75" customHeight="1">
      <c r="A56" s="1"/>
      <c r="B56" s="71" t="s">
        <v>158</v>
      </c>
      <c r="C56" s="1"/>
      <c r="D56" s="75"/>
      <c r="E56" s="8" t="s">
        <v>111</v>
      </c>
      <c r="F56" s="79">
        <v>0.0</v>
      </c>
      <c r="G56" s="78">
        <f>IF(AND($I$17=1,F53&gt;52),F56,F56*F54/52)</f>
        <v>0</v>
      </c>
      <c r="H56" s="74"/>
      <c r="I56" s="47"/>
      <c r="J56" s="76"/>
      <c r="K56" s="1"/>
    </row>
    <row r="57" ht="12.75" customHeight="1">
      <c r="A57" s="1"/>
      <c r="B57" s="71" t="s">
        <v>159</v>
      </c>
      <c r="C57" s="1"/>
      <c r="D57" s="75"/>
      <c r="E57" s="8">
        <v>30.0</v>
      </c>
      <c r="F57" s="79">
        <v>0.0</v>
      </c>
      <c r="G57" s="78"/>
      <c r="H57" s="77">
        <f>IF(C14="organist",0,F57*E57/52)</f>
        <v>0</v>
      </c>
      <c r="I57" s="47"/>
      <c r="J57" s="76"/>
      <c r="K57" s="1"/>
    </row>
    <row r="58" ht="12.75" customHeight="1">
      <c r="A58" s="1"/>
      <c r="B58" s="71" t="s">
        <v>160</v>
      </c>
      <c r="C58" s="1"/>
      <c r="D58" s="75"/>
      <c r="E58" s="8">
        <v>185.0</v>
      </c>
      <c r="F58" s="79">
        <v>0.0</v>
      </c>
      <c r="G58" s="78">
        <f t="shared" ref="G58:G59" si="2">F58*E58/52</f>
        <v>0</v>
      </c>
      <c r="H58" s="80"/>
      <c r="I58" s="6"/>
      <c r="J58" s="75"/>
      <c r="K58" s="1"/>
    </row>
    <row r="59" ht="12.75" customHeight="1">
      <c r="A59" s="1"/>
      <c r="B59" s="71" t="s">
        <v>161</v>
      </c>
      <c r="C59" s="1"/>
      <c r="D59" s="75"/>
      <c r="E59" s="8">
        <v>40.0</v>
      </c>
      <c r="F59" s="79">
        <v>0.0</v>
      </c>
      <c r="G59" s="78">
        <f t="shared" si="2"/>
        <v>0</v>
      </c>
      <c r="H59" s="74"/>
      <c r="I59" s="6"/>
      <c r="J59" s="75"/>
      <c r="K59" s="1"/>
    </row>
    <row r="60" ht="12.75" customHeight="1">
      <c r="A60" s="1"/>
      <c r="B60" s="71" t="s">
        <v>162</v>
      </c>
      <c r="C60" s="1"/>
      <c r="D60" s="75"/>
      <c r="E60" s="8"/>
      <c r="F60" s="77"/>
      <c r="G60" s="78"/>
      <c r="H60" s="74"/>
      <c r="I60" s="47"/>
      <c r="J60" s="76"/>
      <c r="K60" s="1"/>
    </row>
    <row r="61" ht="12.75" customHeight="1">
      <c r="A61" s="1"/>
      <c r="B61" s="81"/>
      <c r="C61" s="3"/>
      <c r="D61" s="76"/>
      <c r="E61" s="1"/>
      <c r="F61" s="79">
        <v>0.0</v>
      </c>
      <c r="G61" s="82"/>
      <c r="H61" s="83"/>
      <c r="I61" s="84">
        <f t="shared" ref="I61:I63" si="3">F61</f>
        <v>0</v>
      </c>
      <c r="J61" s="76"/>
      <c r="K61" s="1"/>
    </row>
    <row r="62" ht="12.75" customHeight="1">
      <c r="A62" s="1"/>
      <c r="B62" s="81"/>
      <c r="C62" s="3"/>
      <c r="D62" s="76"/>
      <c r="E62" s="8"/>
      <c r="F62" s="79"/>
      <c r="G62" s="78"/>
      <c r="H62" s="74"/>
      <c r="I62" s="84" t="str">
        <f t="shared" si="3"/>
        <v/>
      </c>
      <c r="J62" s="76"/>
      <c r="K62" s="1"/>
    </row>
    <row r="63" ht="12.75" customHeight="1">
      <c r="A63" s="1"/>
      <c r="B63" s="81"/>
      <c r="C63" s="3"/>
      <c r="D63" s="76"/>
      <c r="E63" s="8"/>
      <c r="F63" s="79"/>
      <c r="G63" s="78"/>
      <c r="H63" s="74"/>
      <c r="I63" s="84" t="str">
        <f t="shared" si="3"/>
        <v/>
      </c>
      <c r="J63" s="76"/>
      <c r="K63" s="1"/>
    </row>
    <row r="64" ht="12.75" customHeight="1">
      <c r="A64" s="1"/>
      <c r="B64" s="81"/>
      <c r="C64" s="3"/>
      <c r="D64" s="76"/>
      <c r="E64" s="8"/>
      <c r="F64" s="79"/>
      <c r="G64" s="78"/>
      <c r="H64" s="74"/>
      <c r="I64" s="78"/>
      <c r="J64" s="85"/>
      <c r="K64" s="1"/>
    </row>
    <row r="65" ht="12.75" customHeight="1">
      <c r="A65" s="1"/>
      <c r="B65" s="86" t="s">
        <v>163</v>
      </c>
      <c r="C65" s="3"/>
      <c r="D65" s="76"/>
      <c r="E65" s="8"/>
      <c r="F65" s="77"/>
      <c r="G65" s="78"/>
      <c r="H65" s="74"/>
      <c r="I65" s="78"/>
      <c r="J65" s="85"/>
      <c r="K65" s="1"/>
    </row>
    <row r="66" ht="12.75" customHeight="1">
      <c r="A66" s="1"/>
      <c r="B66" s="81"/>
      <c r="C66" s="3"/>
      <c r="D66" s="76"/>
      <c r="E66" s="8"/>
      <c r="F66" s="79">
        <v>0.0</v>
      </c>
      <c r="G66" s="78"/>
      <c r="H66" s="74"/>
      <c r="I66" s="84">
        <f t="shared" ref="I66:I68" si="4">F66/52</f>
        <v>0</v>
      </c>
      <c r="J66" s="76"/>
      <c r="K66" s="1"/>
    </row>
    <row r="67" ht="12.75" customHeight="1">
      <c r="A67" s="1"/>
      <c r="B67" s="81"/>
      <c r="C67" s="3"/>
      <c r="D67" s="76"/>
      <c r="E67" s="8"/>
      <c r="F67" s="79"/>
      <c r="G67" s="78"/>
      <c r="H67" s="74"/>
      <c r="I67" s="84">
        <f t="shared" si="4"/>
        <v>0</v>
      </c>
      <c r="J67" s="76"/>
      <c r="K67" s="1"/>
    </row>
    <row r="68" ht="12.75" customHeight="1">
      <c r="A68" s="1"/>
      <c r="B68" s="87"/>
      <c r="C68" s="88"/>
      <c r="D68" s="55"/>
      <c r="E68" s="18"/>
      <c r="F68" s="89"/>
      <c r="G68" s="78"/>
      <c r="H68" s="90"/>
      <c r="I68" s="91">
        <f t="shared" si="4"/>
        <v>0</v>
      </c>
      <c r="J68" s="55"/>
      <c r="K68" s="1"/>
    </row>
    <row r="69" ht="12.75" customHeight="1">
      <c r="A69" s="1"/>
      <c r="B69" s="92" t="s">
        <v>118</v>
      </c>
      <c r="C69" s="18"/>
      <c r="D69" s="18"/>
      <c r="E69" s="18"/>
      <c r="F69" s="93"/>
      <c r="G69" s="94">
        <f t="shared" ref="G69:I69" si="5">SUM(G54:G68)</f>
        <v>0</v>
      </c>
      <c r="H69" s="95">
        <f t="shared" si="5"/>
        <v>0</v>
      </c>
      <c r="I69" s="96">
        <f t="shared" si="5"/>
        <v>0</v>
      </c>
      <c r="J69" s="50"/>
      <c r="K69" s="1"/>
    </row>
    <row r="70" ht="12.75" customHeight="1">
      <c r="A70" s="1"/>
      <c r="B70" s="1"/>
      <c r="C70" s="1"/>
      <c r="D70" s="1"/>
      <c r="E70" s="1"/>
      <c r="F70" s="1"/>
      <c r="G70" s="78"/>
      <c r="H70" s="78"/>
      <c r="I70" s="78"/>
      <c r="J70" s="82"/>
      <c r="K70" s="1"/>
    </row>
    <row r="71" ht="12.75" customHeight="1">
      <c r="A71" s="1"/>
      <c r="B71" s="1"/>
      <c r="C71" s="1"/>
      <c r="D71" s="1"/>
      <c r="E71" s="1"/>
      <c r="F71" s="1"/>
      <c r="G71" s="97" t="s">
        <v>119</v>
      </c>
      <c r="H71" s="97" t="s">
        <v>120</v>
      </c>
      <c r="I71" s="98" t="s">
        <v>121</v>
      </c>
      <c r="J71" s="50"/>
      <c r="K71" s="1"/>
    </row>
    <row r="72" ht="12.75" customHeight="1">
      <c r="A72" s="1"/>
      <c r="B72" s="56" t="s">
        <v>164</v>
      </c>
      <c r="C72" s="99"/>
      <c r="D72" s="99"/>
      <c r="E72" s="99"/>
      <c r="F72" s="99"/>
      <c r="G72" s="100">
        <f>IF($F$41="III",0.07*$G$69,0.09*$G$69)</f>
        <v>0</v>
      </c>
      <c r="H72" s="100">
        <f>IF($I$41="III",0.07*$H$69,0.09*$H$69)</f>
        <v>0</v>
      </c>
      <c r="I72" s="101">
        <f>$I$69</f>
        <v>0</v>
      </c>
      <c r="J72" s="50"/>
      <c r="K72" s="1"/>
    </row>
    <row r="73" ht="12.75" customHeight="1">
      <c r="A73" s="1"/>
      <c r="B73" s="56" t="s">
        <v>123</v>
      </c>
      <c r="C73" s="99"/>
      <c r="D73" s="99"/>
      <c r="E73" s="99"/>
      <c r="F73" s="99"/>
      <c r="G73" s="102">
        <f>$G$72+$H$72+$I$72</f>
        <v>0</v>
      </c>
      <c r="H73" s="103"/>
      <c r="I73" s="103"/>
      <c r="J73" s="50"/>
      <c r="K73" s="1"/>
    </row>
    <row r="74" ht="12.75" customHeight="1">
      <c r="A74" s="1"/>
      <c r="B74" s="1"/>
      <c r="C74" s="1"/>
      <c r="D74" s="1"/>
      <c r="E74" s="1"/>
      <c r="F74" s="1"/>
      <c r="G74" s="78"/>
      <c r="H74" s="6"/>
      <c r="I74" s="6"/>
      <c r="J74" s="6"/>
      <c r="K74" s="1"/>
    </row>
    <row r="75" ht="12.75" customHeight="1">
      <c r="A75" s="1" t="s">
        <v>124</v>
      </c>
      <c r="B75" s="4" t="s">
        <v>125</v>
      </c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 t="s">
        <v>126</v>
      </c>
      <c r="C77" s="104" t="str">
        <f>C5</f>
        <v/>
      </c>
      <c r="D77" s="3"/>
      <c r="E77" s="1" t="s">
        <v>127</v>
      </c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 t="s">
        <v>128</v>
      </c>
      <c r="C80" s="82">
        <f>$G$69</f>
        <v>0</v>
      </c>
      <c r="D80" s="8" t="s">
        <v>129</v>
      </c>
      <c r="E80" s="105">
        <f>$F$45</f>
        <v>1.017283974</v>
      </c>
      <c r="F80" s="3"/>
      <c r="G80" s="1"/>
      <c r="H80" s="106" t="s">
        <v>130</v>
      </c>
      <c r="I80" s="107">
        <f t="shared" ref="I80:I82" si="6">C80*E80</f>
        <v>0</v>
      </c>
      <c r="J80" s="3"/>
      <c r="K80" s="1"/>
    </row>
    <row r="81" ht="12.75" customHeight="1">
      <c r="A81" s="1"/>
      <c r="B81" s="1" t="s">
        <v>131</v>
      </c>
      <c r="C81" s="82">
        <f>$H$69</f>
        <v>0</v>
      </c>
      <c r="D81" s="8" t="s">
        <v>129</v>
      </c>
      <c r="E81" s="108">
        <f>$I$45</f>
        <v>0</v>
      </c>
      <c r="F81" s="3"/>
      <c r="G81" s="1"/>
      <c r="H81" s="106" t="s">
        <v>130</v>
      </c>
      <c r="I81" s="107">
        <f t="shared" si="6"/>
        <v>0</v>
      </c>
      <c r="J81" s="3"/>
      <c r="K81" s="1"/>
    </row>
    <row r="82" ht="12.75" customHeight="1">
      <c r="A82" s="1"/>
      <c r="B82" s="1" t="s">
        <v>132</v>
      </c>
      <c r="C82" s="82">
        <f>$I$69</f>
        <v>0</v>
      </c>
      <c r="D82" s="8" t="s">
        <v>129</v>
      </c>
      <c r="E82" s="108">
        <f>IF($I$69=0,0,$F$46)</f>
        <v>0</v>
      </c>
      <c r="F82" s="3"/>
      <c r="G82" s="1"/>
      <c r="H82" s="106" t="s">
        <v>130</v>
      </c>
      <c r="I82" s="107">
        <f t="shared" si="6"/>
        <v>0</v>
      </c>
      <c r="J82" s="3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25" t="s">
        <v>133</v>
      </c>
      <c r="I83" s="107">
        <f>SUM(I80:I82)</f>
        <v>0</v>
      </c>
      <c r="J83" s="3"/>
      <c r="K83" s="1"/>
    </row>
    <row r="84" ht="12.75" customHeight="1">
      <c r="A84" s="1"/>
      <c r="B84" s="1"/>
      <c r="C84" s="6"/>
      <c r="D84" s="1"/>
      <c r="E84" s="1"/>
      <c r="F84" s="1"/>
      <c r="G84" s="1"/>
      <c r="H84" s="109"/>
      <c r="I84" s="3"/>
      <c r="J84" s="109"/>
      <c r="K84" s="3"/>
    </row>
    <row r="85" ht="12.75" customHeight="1">
      <c r="A85" s="1"/>
      <c r="B85" s="1"/>
      <c r="C85" s="1"/>
      <c r="D85" s="1"/>
      <c r="E85" s="1"/>
      <c r="F85" s="1"/>
      <c r="G85" s="25"/>
      <c r="H85" s="107"/>
      <c r="I85" s="3"/>
      <c r="J85" s="107"/>
      <c r="K85" s="3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10" t="s">
        <v>134</v>
      </c>
      <c r="D87" s="111" t="s">
        <v>135</v>
      </c>
      <c r="E87" s="112" t="s">
        <v>136</v>
      </c>
      <c r="F87" s="53"/>
      <c r="G87" s="47"/>
      <c r="H87" s="3"/>
      <c r="I87" s="4"/>
      <c r="J87" s="1"/>
      <c r="K87" s="1"/>
    </row>
    <row r="88" ht="12.75" customHeight="1">
      <c r="A88" s="1"/>
      <c r="B88" s="1"/>
      <c r="C88" s="113">
        <f>$I$83*52/12</f>
        <v>0</v>
      </c>
      <c r="D88" s="114">
        <f>$C$88*12</f>
        <v>0</v>
      </c>
      <c r="E88" s="115">
        <f>$G$73/36</f>
        <v>0</v>
      </c>
      <c r="F88" s="55"/>
      <c r="G88" s="116"/>
      <c r="H88" s="3"/>
      <c r="I88" s="1"/>
      <c r="J88" s="1"/>
      <c r="K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05"/>
      <c r="K89" s="3"/>
    </row>
    <row r="90" ht="12.75" customHeight="1">
      <c r="A90" s="1"/>
      <c r="B90" s="27" t="str">
        <f>IF($F$54=0,"Geen diensten toegewezen",IF(Verdeling!$M$46=Verdeling!$F$30,"","Diensten niet juist verdeeld. Zie blad 'Verdeling'"))</f>
        <v>Geen diensten toegewezen</v>
      </c>
      <c r="C90" s="1"/>
      <c r="D90" s="1"/>
      <c r="E90" s="1"/>
      <c r="F90" s="117" t="str">
        <f>IF(OR(Cantor!$F$53&gt;4,('KM1'!$F$55+'KM2'!$F$55+'KM3'!$F$55+'KM4'!$F$55+'KM5'!$F$55)&gt;4),"","vorming is onjuist ingevuld")</f>
        <v/>
      </c>
      <c r="G90" s="1"/>
      <c r="H90" s="1"/>
      <c r="I90" s="1"/>
      <c r="J90" s="1"/>
      <c r="K90" s="1"/>
    </row>
    <row r="91" ht="12.75" customHeight="1">
      <c r="A91" s="1"/>
      <c r="B91" s="117"/>
      <c r="C91" s="1"/>
      <c r="D91" s="1"/>
      <c r="E91" s="1"/>
      <c r="F91" s="1"/>
      <c r="G91" s="82"/>
      <c r="H91" s="1"/>
      <c r="I91" s="1"/>
      <c r="J91" s="1"/>
      <c r="K91" s="1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0">
    <mergeCell ref="B65:D65"/>
    <mergeCell ref="B66:D66"/>
    <mergeCell ref="B67:D67"/>
    <mergeCell ref="B68:D68"/>
    <mergeCell ref="F45:G45"/>
    <mergeCell ref="F46:G46"/>
    <mergeCell ref="C54:D54"/>
    <mergeCell ref="B61:D61"/>
    <mergeCell ref="B62:D62"/>
    <mergeCell ref="B63:D63"/>
    <mergeCell ref="B64:D64"/>
    <mergeCell ref="E81:F81"/>
    <mergeCell ref="E82:F82"/>
    <mergeCell ref="E87:F87"/>
    <mergeCell ref="E88:F88"/>
    <mergeCell ref="I71:J71"/>
    <mergeCell ref="I72:J72"/>
    <mergeCell ref="G73:J73"/>
    <mergeCell ref="C77:D77"/>
    <mergeCell ref="E80:F80"/>
    <mergeCell ref="I80:J80"/>
    <mergeCell ref="I81:J81"/>
    <mergeCell ref="G88:H88"/>
    <mergeCell ref="J89:K89"/>
    <mergeCell ref="I82:J82"/>
    <mergeCell ref="I83:J83"/>
    <mergeCell ref="H84:I84"/>
    <mergeCell ref="J84:K84"/>
    <mergeCell ref="H85:I85"/>
    <mergeCell ref="J85:K85"/>
    <mergeCell ref="G87:H87"/>
    <mergeCell ref="A2:I2"/>
    <mergeCell ref="I3:J3"/>
    <mergeCell ref="C5:D5"/>
    <mergeCell ref="I5:J5"/>
    <mergeCell ref="C8:D8"/>
    <mergeCell ref="C9:D9"/>
    <mergeCell ref="C11:D11"/>
    <mergeCell ref="C12:D12"/>
    <mergeCell ref="C14:D14"/>
    <mergeCell ref="I14:K14"/>
    <mergeCell ref="I15:K15"/>
    <mergeCell ref="H21:J21"/>
    <mergeCell ref="H22:J22"/>
    <mergeCell ref="I26:J26"/>
    <mergeCell ref="F26:H26"/>
    <mergeCell ref="F27:H27"/>
    <mergeCell ref="I27:J27"/>
    <mergeCell ref="F32:G32"/>
    <mergeCell ref="F35:G35"/>
    <mergeCell ref="I35:J35"/>
    <mergeCell ref="I36:J36"/>
    <mergeCell ref="F36:G36"/>
    <mergeCell ref="F37:G37"/>
    <mergeCell ref="F38:G38"/>
    <mergeCell ref="F39:G39"/>
    <mergeCell ref="F41:G41"/>
    <mergeCell ref="F42:G42"/>
    <mergeCell ref="F43:G43"/>
    <mergeCell ref="I37:J37"/>
    <mergeCell ref="I38:J38"/>
    <mergeCell ref="I39:J39"/>
    <mergeCell ref="I41:J41"/>
    <mergeCell ref="I42:J42"/>
    <mergeCell ref="I43:J43"/>
    <mergeCell ref="I45:J45"/>
    <mergeCell ref="I46:J46"/>
    <mergeCell ref="I51:J51"/>
    <mergeCell ref="I54:J54"/>
    <mergeCell ref="I55:J55"/>
    <mergeCell ref="I56:J56"/>
    <mergeCell ref="I57:J57"/>
    <mergeCell ref="I60:J60"/>
    <mergeCell ref="I61:J61"/>
    <mergeCell ref="I62:J62"/>
    <mergeCell ref="I63:J63"/>
    <mergeCell ref="I66:J66"/>
    <mergeCell ref="I67:J67"/>
    <mergeCell ref="I68:J68"/>
    <mergeCell ref="I69:J69"/>
  </mergeCells>
  <printOptions/>
  <pageMargins bottom="0.75" footer="0.0" header="0.0" left="0.7" right="0.7" top="0.75"/>
  <pageSetup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24.88"/>
    <col customWidth="1" min="3" max="3" width="18.88"/>
    <col customWidth="1" min="4" max="4" width="17.0"/>
    <col customWidth="1" min="5" max="11" width="9.13"/>
    <col customWidth="1" min="12" max="26" width="14.38"/>
  </cols>
  <sheetData>
    <row r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2.75" customHeight="1">
      <c r="A2" s="2" t="s">
        <v>165</v>
      </c>
      <c r="B2" s="3"/>
      <c r="C2" s="3"/>
      <c r="D2" s="3"/>
      <c r="E2" s="3"/>
      <c r="F2" s="3"/>
      <c r="G2" s="3"/>
      <c r="H2" s="3"/>
      <c r="I2" s="3"/>
      <c r="J2" s="32"/>
      <c r="K2" s="32"/>
    </row>
    <row r="3" ht="12.75" customHeight="1">
      <c r="A3" s="1"/>
      <c r="B3" s="1"/>
      <c r="C3" s="1"/>
      <c r="D3" s="1"/>
      <c r="E3" s="1" t="s">
        <v>45</v>
      </c>
      <c r="F3" s="1"/>
      <c r="G3" s="1"/>
      <c r="H3" s="1"/>
      <c r="I3" s="33">
        <v>38357.0</v>
      </c>
      <c r="J3" s="3"/>
      <c r="K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34"/>
      <c r="K4" s="1"/>
    </row>
    <row r="5" ht="12.75" customHeight="1">
      <c r="A5" s="1" t="s">
        <v>46</v>
      </c>
      <c r="B5" s="1" t="s">
        <v>47</v>
      </c>
      <c r="C5" s="35"/>
      <c r="D5" s="3"/>
      <c r="E5" s="1"/>
      <c r="F5" s="1"/>
      <c r="G5" s="25" t="s">
        <v>49</v>
      </c>
      <c r="H5" s="1"/>
      <c r="I5" s="33">
        <v>24019.0</v>
      </c>
      <c r="J5" s="3"/>
      <c r="K5" s="1"/>
    </row>
    <row r="6" ht="12.75" customHeight="1">
      <c r="A6" s="1"/>
      <c r="B6" s="1" t="s">
        <v>50</v>
      </c>
      <c r="C6" s="36"/>
      <c r="D6" s="11"/>
      <c r="E6" s="1"/>
      <c r="F6" s="1"/>
      <c r="G6" s="25" t="s">
        <v>51</v>
      </c>
      <c r="H6" s="37">
        <f>IF(DATE(YEAR($I$3),MONTH(I5),DAY(I5))&lt;=$I$3,YEAR($I$3)-YEAR(I5),YEAR($I$3)-YEAR(I5)-1)</f>
        <v>39</v>
      </c>
      <c r="I6" s="1"/>
      <c r="J6" s="1"/>
      <c r="K6" s="1"/>
    </row>
    <row r="7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</row>
    <row r="8" ht="12.75" customHeight="1">
      <c r="A8" s="1"/>
      <c r="B8" s="1" t="s">
        <v>52</v>
      </c>
      <c r="C8" s="35"/>
      <c r="D8" s="3"/>
      <c r="E8" s="1"/>
      <c r="F8" s="1"/>
      <c r="G8" s="1"/>
      <c r="H8" s="1"/>
      <c r="I8" s="1"/>
      <c r="J8" s="1"/>
      <c r="K8" s="1"/>
    </row>
    <row r="9" ht="12.75" customHeight="1">
      <c r="A9" s="1"/>
      <c r="B9" s="1" t="s">
        <v>54</v>
      </c>
      <c r="C9" s="35"/>
      <c r="D9" s="3"/>
      <c r="E9" s="1"/>
      <c r="F9" s="1"/>
      <c r="G9" s="1"/>
      <c r="H9" s="1"/>
      <c r="I9" s="1"/>
      <c r="J9" s="1"/>
      <c r="K9" s="1"/>
    </row>
    <row r="10" ht="12.75" customHeight="1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</row>
    <row r="11" ht="12.75" customHeight="1">
      <c r="A11" s="1"/>
      <c r="B11" s="1" t="s">
        <v>56</v>
      </c>
      <c r="C11" s="35"/>
      <c r="D11" s="3"/>
      <c r="E11" s="1"/>
      <c r="F11" s="1"/>
      <c r="G11" s="1"/>
      <c r="H11" s="1"/>
      <c r="I11" s="1"/>
      <c r="J11" s="1"/>
      <c r="K11" s="1"/>
    </row>
    <row r="12" ht="12.75" customHeight="1">
      <c r="A12" s="1"/>
      <c r="B12" s="1" t="s">
        <v>58</v>
      </c>
      <c r="C12" s="118"/>
      <c r="D12" s="3"/>
      <c r="E12" s="1"/>
      <c r="F12" s="27" t="str">
        <f>IF(OR(C14="organist",C14="cantor-organist"),"","benaming aanstelling onjuist")</f>
        <v/>
      </c>
      <c r="G12" s="1"/>
      <c r="H12" s="1"/>
      <c r="I12" s="1"/>
      <c r="J12" s="1"/>
      <c r="K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>
      <c r="A14" s="1"/>
      <c r="B14" s="1" t="s">
        <v>60</v>
      </c>
      <c r="C14" s="39" t="s">
        <v>61</v>
      </c>
      <c r="D14" s="3"/>
      <c r="E14" s="1" t="s">
        <v>62</v>
      </c>
      <c r="F14" s="1"/>
      <c r="G14" s="1"/>
      <c r="H14" s="1"/>
      <c r="I14" s="29" t="str">
        <f>'KM1'!I14</f>
        <v>Voorbeeld</v>
      </c>
      <c r="J14" s="3"/>
      <c r="K14" s="3"/>
    </row>
    <row r="15" ht="12.75" customHeight="1">
      <c r="A15" s="1"/>
      <c r="B15" s="27" t="str">
        <f>IF(C14="cantor","voor cantor: zie werkblad Cantor","")</f>
        <v/>
      </c>
      <c r="C15" s="1"/>
      <c r="D15" s="1"/>
      <c r="E15" s="1"/>
      <c r="F15" s="1"/>
      <c r="G15" s="8" t="s">
        <v>64</v>
      </c>
      <c r="H15" s="1"/>
      <c r="I15" s="29" t="str">
        <f>'KM1'!$I$15</f>
        <v>Grote Kerk</v>
      </c>
      <c r="J15" s="3"/>
      <c r="K15" s="3"/>
    </row>
    <row r="16" ht="12.75" customHeight="1">
      <c r="A16" s="1"/>
      <c r="B16" s="1"/>
      <c r="C16" s="1"/>
      <c r="D16" s="25"/>
      <c r="E16" s="1"/>
      <c r="F16" s="4"/>
      <c r="G16" s="1"/>
      <c r="H16" s="1"/>
      <c r="I16" s="1"/>
      <c r="J16" s="1"/>
      <c r="K16" s="1"/>
    </row>
    <row r="17" ht="12.75" customHeight="1">
      <c r="A17" s="1"/>
      <c r="B17" s="1" t="s">
        <v>66</v>
      </c>
      <c r="C17" s="5" t="str">
        <f>I15</f>
        <v>Grote Kerk</v>
      </c>
      <c r="D17" s="25"/>
      <c r="E17" s="1" t="s">
        <v>67</v>
      </c>
      <c r="F17" s="4"/>
      <c r="G17" s="1"/>
      <c r="H17" s="1"/>
      <c r="I17" s="6">
        <f>'KM1'!$I$17</f>
        <v>5</v>
      </c>
      <c r="J17" s="1" t="s">
        <v>68</v>
      </c>
      <c r="K17" s="1"/>
    </row>
    <row r="18" ht="12.75" customHeight="1">
      <c r="A18" s="1"/>
      <c r="B18" s="1"/>
      <c r="C18" s="1"/>
      <c r="D18" s="25"/>
      <c r="E18" s="1"/>
      <c r="F18" s="4"/>
      <c r="G18" s="25"/>
      <c r="H18" s="1"/>
      <c r="I18" s="37"/>
      <c r="J18" s="1"/>
      <c r="K18" s="1"/>
    </row>
    <row r="19" ht="12.75" customHeight="1">
      <c r="A19" s="1" t="s">
        <v>1</v>
      </c>
      <c r="B19" s="4" t="s">
        <v>69</v>
      </c>
      <c r="C19" s="1"/>
      <c r="D19" s="1"/>
      <c r="E19" s="1"/>
      <c r="F19" s="1"/>
      <c r="G19" s="1"/>
      <c r="H19" s="1"/>
      <c r="I19" s="1"/>
      <c r="J19" s="1"/>
      <c r="K19" s="1"/>
    </row>
    <row r="20" ht="12.75" customHeight="1">
      <c r="A20" s="1"/>
      <c r="B20" s="1" t="s">
        <v>70</v>
      </c>
      <c r="C20" s="1"/>
      <c r="D20" s="1"/>
      <c r="E20" s="1"/>
      <c r="F20" s="1"/>
      <c r="G20" s="1"/>
      <c r="H20" s="1"/>
      <c r="I20" s="1"/>
      <c r="J20" s="1"/>
      <c r="K20" s="1"/>
    </row>
    <row r="21" ht="12.75" customHeight="1">
      <c r="A21" s="1"/>
      <c r="B21" s="24" t="s">
        <v>71</v>
      </c>
      <c r="C21" s="6" t="str">
        <f>'KM1'!C21</f>
        <v>iii</v>
      </c>
      <c r="D21" s="40" t="str">
        <f t="shared" ref="D21:D22" si="1">IF(C21="I","",IF(C21="II","",IF(C21="III","",IF(C21="nvt","","  onjuiste invoer"))))</f>
        <v/>
      </c>
      <c r="E21" s="1"/>
      <c r="F21" s="1"/>
      <c r="G21" s="25" t="s">
        <v>73</v>
      </c>
      <c r="H21" s="119">
        <f>'KM1'!H21</f>
        <v>36161</v>
      </c>
      <c r="I21" s="3"/>
      <c r="J21" s="3"/>
      <c r="K21" s="1"/>
    </row>
    <row r="22" ht="12.75" customHeight="1">
      <c r="A22" s="1"/>
      <c r="B22" s="24" t="s">
        <v>74</v>
      </c>
      <c r="C22" s="6" t="str">
        <f>'KM1'!C22</f>
        <v>I</v>
      </c>
      <c r="D22" s="40" t="str">
        <f t="shared" si="1"/>
        <v/>
      </c>
      <c r="E22" s="1"/>
      <c r="F22" s="1"/>
      <c r="G22" s="25" t="s">
        <v>73</v>
      </c>
      <c r="H22" s="119">
        <f>'KM1'!H22</f>
        <v>36526</v>
      </c>
      <c r="I22" s="3"/>
      <c r="J22" s="3"/>
      <c r="K22" s="1"/>
    </row>
    <row r="23" ht="12.75" customHeight="1">
      <c r="A23" s="1"/>
      <c r="B23" s="41" t="str">
        <f>IF(OR($C$21="I",$C$21="II",$C$21="III"),"","functieniveau orgel niet juist ingevuld")</f>
        <v/>
      </c>
      <c r="C23" s="1"/>
      <c r="D23" s="42" t="str">
        <f>IF(AND(C21="nvt",C22="nvt"),"welke functie is van toepassing?"," ")</f>
        <v> </v>
      </c>
      <c r="E23" s="1"/>
      <c r="F23" s="1"/>
      <c r="G23" s="1"/>
      <c r="H23" s="1"/>
      <c r="I23" s="1"/>
      <c r="J23" s="1"/>
      <c r="K23" s="1"/>
    </row>
    <row r="24" ht="12.75" customHeight="1">
      <c r="A24" s="1" t="s">
        <v>32</v>
      </c>
      <c r="B24" s="4" t="s">
        <v>76</v>
      </c>
      <c r="C24" s="8"/>
      <c r="D24" s="8"/>
      <c r="E24" s="1"/>
      <c r="F24" s="1"/>
      <c r="G24" s="1"/>
      <c r="H24" s="1"/>
      <c r="I24" s="1"/>
      <c r="J24" s="1"/>
      <c r="K24" s="1"/>
    </row>
    <row r="25" ht="12.75" customHeight="1">
      <c r="A25" s="1"/>
      <c r="B25" s="1" t="s">
        <v>77</v>
      </c>
      <c r="C25" s="8"/>
      <c r="D25" s="40" t="str">
        <f>IF(C26="I","",IF(C26="II","",IF(C26="III","",IF(C26="geen","","onjuiste invoer orgel"))))</f>
        <v/>
      </c>
      <c r="E25" s="1"/>
      <c r="F25" s="40" t="str">
        <f>IF(C27="I","",IF(C27="II","",IF(C27="III","",IF(C27="geen","","onjuiste invoer cantoraat"))))</f>
        <v/>
      </c>
      <c r="G25" s="1"/>
      <c r="H25" s="1"/>
      <c r="I25" s="1"/>
      <c r="J25" s="28" t="str">
        <f>IF(OR(C26="I",C26="II",C26="III"),IF(I26&gt;I5,IF(I26&lt;I3,"","onjuist"),"datum ligt voor geboortedatum"),IF(C26="geen",IF(I26="nvt","","onjuist"),"onjuist"))</f>
        <v/>
      </c>
      <c r="K25" s="1"/>
    </row>
    <row r="26" ht="12.75" customHeight="1">
      <c r="A26" s="1"/>
      <c r="B26" s="24" t="s">
        <v>71</v>
      </c>
      <c r="C26" s="7" t="s">
        <v>75</v>
      </c>
      <c r="D26" s="1"/>
      <c r="E26" s="25" t="s">
        <v>79</v>
      </c>
      <c r="F26" s="43"/>
      <c r="G26" s="3"/>
      <c r="H26" s="3"/>
      <c r="I26" s="33">
        <v>36526.0</v>
      </c>
      <c r="J26" s="3"/>
      <c r="K26" s="1"/>
    </row>
    <row r="27" ht="12.75" customHeight="1">
      <c r="A27" s="1"/>
      <c r="B27" s="24" t="s">
        <v>74</v>
      </c>
      <c r="C27" s="7" t="s">
        <v>75</v>
      </c>
      <c r="D27" s="44"/>
      <c r="E27" s="25" t="s">
        <v>79</v>
      </c>
      <c r="F27" s="43"/>
      <c r="G27" s="3"/>
      <c r="H27" s="3"/>
      <c r="I27" s="33">
        <v>36526.0</v>
      </c>
      <c r="J27" s="3"/>
      <c r="K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28" t="str">
        <f>IF(OR(C27="I",C27="II",C27="III"),IF(I27&gt;I5,IF(I27&lt;I3,"","onjuist"),"datum ligt voor geboortedatum"),IF(C27="geen",IF(I27="nvt","","onjuist"),"onjuist"))</f>
        <v/>
      </c>
      <c r="K28" s="1"/>
    </row>
    <row r="29" ht="12.75" customHeight="1">
      <c r="A29" s="1" t="s">
        <v>81</v>
      </c>
      <c r="B29" s="4" t="s">
        <v>82</v>
      </c>
      <c r="C29" s="1"/>
      <c r="D29" s="1"/>
      <c r="E29" s="1"/>
      <c r="F29" s="1"/>
      <c r="G29" s="1"/>
      <c r="H29" s="1"/>
      <c r="I29" s="1"/>
      <c r="J29" s="1"/>
      <c r="K29" s="28" t="s">
        <v>83</v>
      </c>
    </row>
    <row r="30" ht="12.75" customHeight="1">
      <c r="A30" s="1"/>
      <c r="B30" s="4"/>
      <c r="C30" s="1"/>
      <c r="D30" s="1"/>
      <c r="E30" s="1"/>
      <c r="F30" s="4"/>
      <c r="G30" s="1"/>
      <c r="H30" s="1"/>
      <c r="I30" s="4"/>
      <c r="J30" s="1"/>
      <c r="K30" s="1"/>
    </row>
    <row r="31" ht="16.5" customHeight="1">
      <c r="A31" s="1"/>
      <c r="B31" s="1" t="s">
        <v>84</v>
      </c>
      <c r="C31" s="5" t="str">
        <f>$I$14</f>
        <v>Voorbeeld</v>
      </c>
      <c r="D31" s="1"/>
      <c r="E31" s="40" t="str">
        <f>IF($E$36&gt;0,IF($F$37="onbev","onbevoegd, geen dienstjaren orgel vorige betrekkingen","" ),"")</f>
        <v/>
      </c>
      <c r="F31" s="1"/>
      <c r="G31" s="1"/>
      <c r="H31" s="1"/>
      <c r="I31" s="1"/>
      <c r="J31" s="1"/>
      <c r="K31" s="1"/>
    </row>
    <row r="32" ht="12.75" customHeight="1">
      <c r="A32" s="1"/>
      <c r="B32" s="1" t="s">
        <v>85</v>
      </c>
      <c r="C32" s="1"/>
      <c r="D32" s="1"/>
      <c r="E32" s="1"/>
      <c r="F32" s="33">
        <v>33055.0</v>
      </c>
      <c r="G32" s="3"/>
      <c r="H32" s="1"/>
      <c r="I32" s="40" t="str">
        <f>IF($H$36&gt;0,IF($I$37="onbev","cantor is onbevoegd, geen dienstjaren uit vorige betrekkingen","" ),"")</f>
        <v/>
      </c>
      <c r="J32" s="8"/>
      <c r="K32" s="1"/>
    </row>
    <row r="33" ht="12.75" customHeight="1">
      <c r="A33" s="1"/>
      <c r="B33" s="1"/>
      <c r="C33" s="27" t="str">
        <f>IF(OR($F$32="nvt",$F$37="onbev",E36=0),"",IF((DAYS360($I$26,$F$32)-($E$36*360-1))&gt;0,"","onjuiste invoer dienstjaren orgel vorige betrekkingen"))</f>
        <v/>
      </c>
      <c r="D33" s="1"/>
      <c r="E33" s="1"/>
      <c r="F33" s="44"/>
      <c r="G33" s="1"/>
      <c r="H33" s="1"/>
      <c r="I33" s="27" t="str">
        <f>IF($F$32="nvt","",IF((DAYS360($I$5,$F$32))&gt;0,"","benoemingsdatum is in strijd met geboortedatum"))</f>
        <v/>
      </c>
      <c r="J33" s="1"/>
      <c r="K33" s="40"/>
    </row>
    <row r="34" ht="12.75" customHeight="1">
      <c r="A34" s="1"/>
      <c r="B34" s="1"/>
      <c r="C34" s="1"/>
      <c r="D34" s="27"/>
      <c r="E34" s="1"/>
      <c r="F34" s="27" t="str">
        <f>IF(OR($F$32="nvt",$I$37="onbev",$H$36=0),"",IF((DAYS360($I$27,$F$32)-($H$36*360-1))&gt;0,"","onjuiste invoer dienstjaren cantoraat vorige betrekkingen"))</f>
        <v/>
      </c>
      <c r="G34" s="1"/>
      <c r="H34" s="1"/>
      <c r="I34" s="27"/>
      <c r="J34" s="1"/>
      <c r="K34" s="40"/>
    </row>
    <row r="35" ht="12.75" customHeight="1">
      <c r="A35" s="1"/>
      <c r="B35" s="1"/>
      <c r="C35" s="1"/>
      <c r="D35" s="27"/>
      <c r="E35" s="1"/>
      <c r="F35" s="46" t="s">
        <v>86</v>
      </c>
      <c r="G35" s="3"/>
      <c r="H35" s="1"/>
      <c r="I35" s="29" t="s">
        <v>87</v>
      </c>
      <c r="J35" s="3"/>
      <c r="K35" s="1"/>
    </row>
    <row r="36" ht="12.75" customHeight="1">
      <c r="A36" s="1"/>
      <c r="B36" s="1" t="s">
        <v>88</v>
      </c>
      <c r="C36" s="1"/>
      <c r="D36" s="1"/>
      <c r="E36" s="9">
        <v>0.0</v>
      </c>
      <c r="F36" s="47">
        <f>IF(OR($C$26="geen",$I$26="nvt"),0,IF((DAYS360($I$26,$F$32)-($E$36*360-1))&gt;0,$E$36,0))</f>
        <v>0</v>
      </c>
      <c r="G36" s="3"/>
      <c r="H36" s="7">
        <v>0.0</v>
      </c>
      <c r="I36" s="47">
        <f>IF(OR($C$27="geen",$I$27="nvt"),0,IF((DAYS360($I$27,$F$32)-($H$36*360-1))&gt;0,$H$36,0))</f>
        <v>0</v>
      </c>
      <c r="J36" s="3"/>
      <c r="K36" s="1"/>
    </row>
    <row r="37" ht="12.75" customHeight="1">
      <c r="A37" s="1"/>
      <c r="B37" s="1" t="s">
        <v>89</v>
      </c>
      <c r="C37" s="1"/>
      <c r="D37" s="8"/>
      <c r="E37" s="1"/>
      <c r="F37" s="47">
        <f>IF($I$26="nvt","onbev",IF($F$26="nvt",0,IF($F$32&gt;$I$26,ROUNDDOWN(($I$3-$F$32)/365,0),IF($I$3&gt;$I$26,ROUNDDOWN(($I$3-$I$26)/365,0),0))))</f>
        <v>5</v>
      </c>
      <c r="G37" s="3"/>
      <c r="H37" s="1"/>
      <c r="I37" s="47">
        <f>IF($I$27="nvt","onbev",IF($F$27="nvt",0,IF($F$32&gt;$I$27,ROUNDDOWN(($I$3-$F$32)/365,0),IF($I$3&gt;$I$27,ROUNDDOWN(($I$3-$I$27)/365,0),0))))</f>
        <v>5</v>
      </c>
      <c r="J37" s="3"/>
      <c r="K37" s="1"/>
    </row>
    <row r="38" ht="12.75" customHeight="1">
      <c r="A38" s="1"/>
      <c r="B38" s="1"/>
      <c r="C38" s="6"/>
      <c r="D38" s="48" t="s">
        <v>90</v>
      </c>
      <c r="E38" s="1"/>
      <c r="F38" s="47">
        <f>IF($F$37="onbev",0,($F$36+$F$37))</f>
        <v>5</v>
      </c>
      <c r="G38" s="3"/>
      <c r="H38" s="1"/>
      <c r="I38" s="47">
        <f>IF($I$37="onbev",0,($I$36+$I$37))</f>
        <v>5</v>
      </c>
      <c r="J38" s="3"/>
      <c r="K38" s="1"/>
    </row>
    <row r="39" ht="12.75" customHeight="1">
      <c r="A39" s="1"/>
      <c r="B39" s="1"/>
      <c r="C39" s="6"/>
      <c r="D39" s="48" t="s">
        <v>91</v>
      </c>
      <c r="E39" s="1"/>
      <c r="F39" s="49">
        <f>IF($C$21="III",IF($F$38&gt;10,10,$F$38),IF($F$38&gt;9,"10",$F$38))</f>
        <v>5</v>
      </c>
      <c r="G39" s="50"/>
      <c r="H39" s="1"/>
      <c r="I39" s="49">
        <f>IF($C$22="III",IF($I$38&gt;10,10,$I$38),IF($I$38&gt;9,"10",$I$38))</f>
        <v>5</v>
      </c>
      <c r="J39" s="50"/>
      <c r="K39" s="1"/>
    </row>
    <row r="40" ht="12.75" customHeight="1">
      <c r="A40" s="1"/>
      <c r="B40" s="4"/>
      <c r="C40" s="6"/>
      <c r="D40" s="51"/>
      <c r="E40" s="1"/>
      <c r="F40" s="6"/>
      <c r="G40" s="1"/>
      <c r="H40" s="1"/>
      <c r="I40" s="6"/>
      <c r="J40" s="1"/>
      <c r="K40" s="1"/>
    </row>
    <row r="41" ht="12.75" customHeight="1">
      <c r="A41" s="1"/>
      <c r="B41" s="1"/>
      <c r="C41" s="6"/>
      <c r="D41" s="51"/>
      <c r="E41" s="25" t="s">
        <v>166</v>
      </c>
      <c r="F41" s="47" t="str">
        <f>IF($C$26=$C$21,$C$21,IF($C$26&lt;$C$21,$C$21,IF(AND($C$26&gt;$C$21,$F$39&gt;2),IF($C$26="III",$C$21,$C$26),$C$21)))</f>
        <v>iii</v>
      </c>
      <c r="G41" s="3"/>
      <c r="H41" s="25"/>
      <c r="I41" s="47" t="str">
        <f>IF($C$27=$C$22,$C$22,IF($C$27&lt;$C$22,$C$22,IF(AND($C$27&gt;$C$22,$I$39&gt;2),IF($C$27="III",$C$22,$C$27),$C$22)))</f>
        <v>I</v>
      </c>
      <c r="J41" s="3"/>
      <c r="K41" s="1"/>
    </row>
    <row r="42" ht="12.75" customHeight="1">
      <c r="A42" s="1"/>
      <c r="B42" s="1"/>
      <c r="C42" s="6"/>
      <c r="D42" s="1"/>
      <c r="E42" s="48" t="s">
        <v>93</v>
      </c>
      <c r="F42" s="47">
        <f>IF($C$26=$C$21,$F$39,IF($C$26&lt;$C$21,$F$39,IF(AND($C$26&gt;$C$21,$F$39&gt;2),IF($C$26="III",0,$F$39),0)))</f>
        <v>5</v>
      </c>
      <c r="G42" s="3"/>
      <c r="H42" s="48"/>
      <c r="I42" s="47">
        <f>IF($C$27=$C$22,$I$39,IF($C$27&lt;$C$22,$I$39,IF(AND($C$27&gt;$C$22,$I$39&gt;2),IF($C$27="III",0,$I$39),0)))</f>
        <v>5</v>
      </c>
      <c r="J42" s="3"/>
      <c r="K42" s="1"/>
    </row>
    <row r="43" ht="12.75" hidden="1" customHeight="1">
      <c r="A43" s="1"/>
      <c r="B43" s="1"/>
      <c r="C43" s="1"/>
      <c r="D43" s="1"/>
      <c r="E43" s="48" t="s">
        <v>94</v>
      </c>
      <c r="F43" s="47" t="str">
        <f>CONCATENATE(F41,".",F42)</f>
        <v>iii.5</v>
      </c>
      <c r="G43" s="3"/>
      <c r="H43" s="48"/>
      <c r="I43" s="47" t="str">
        <f>CONCATENATE(I41,".",I42)</f>
        <v>I.5</v>
      </c>
      <c r="J43" s="3"/>
      <c r="K43" s="1"/>
    </row>
    <row r="44" ht="12.75" customHeight="1">
      <c r="A44" s="1"/>
      <c r="B44" s="1"/>
      <c r="C44" s="6"/>
      <c r="D44" s="51"/>
      <c r="E44" s="1"/>
      <c r="F44" s="6"/>
      <c r="G44" s="1"/>
      <c r="H44" s="1"/>
      <c r="I44" s="6"/>
      <c r="J44" s="1"/>
      <c r="K44" s="1"/>
    </row>
    <row r="45" ht="12.75" customHeight="1">
      <c r="A45" s="1"/>
      <c r="B45" s="1" t="s">
        <v>95</v>
      </c>
      <c r="C45" s="6"/>
      <c r="D45" s="51"/>
      <c r="E45" s="1"/>
      <c r="F45" s="52">
        <f>IF($F$32="nvt",0,VLOOKUP($F$43,Salaristabellen!A8:H46,8,FALSE))</f>
        <v>1.175600641</v>
      </c>
      <c r="G45" s="53"/>
      <c r="H45" s="1"/>
      <c r="I45" s="52">
        <f>IF(OR($F$32="nvt",$C$14="organist"),0,VLOOKUP($I$43,Salaristabellen!A8:H46,8,FALSE))</f>
        <v>2.536136538</v>
      </c>
      <c r="J45" s="53"/>
      <c r="K45" s="1"/>
    </row>
    <row r="46" ht="12.75" customHeight="1">
      <c r="A46" s="1"/>
      <c r="B46" s="1" t="s">
        <v>96</v>
      </c>
      <c r="C46" s="6"/>
      <c r="D46" s="51"/>
      <c r="E46" s="1"/>
      <c r="F46" s="54">
        <f>IF($F$32="nvt",0,VLOOKUP($F$43,Salaristabellen!A8:H46,2,FALSE)*12/(52*36))</f>
        <v>16.79429487</v>
      </c>
      <c r="G46" s="55"/>
      <c r="H46" s="1"/>
      <c r="I46" s="54">
        <f>IF(OR($F$32="nvt",$C$14="organist"),0,VLOOKUP($I$43,Salaristabellen!A8:H46,2,FALSE)*12/(52*36))</f>
        <v>28.17929487</v>
      </c>
      <c r="J46" s="55"/>
      <c r="K46" s="1"/>
    </row>
    <row r="47" ht="12.75" customHeight="1">
      <c r="A47" s="1"/>
      <c r="B47" s="1"/>
      <c r="C47" s="6"/>
      <c r="D47" s="51"/>
      <c r="E47" s="1"/>
      <c r="F47" s="1" t="str">
        <f>Salaristabellen!$G$1</f>
        <v>(salarisschalen per 1 januari 2024)</v>
      </c>
      <c r="G47" s="1"/>
      <c r="H47" s="1"/>
      <c r="I47" s="51"/>
      <c r="J47" s="8"/>
      <c r="K47" s="1"/>
    </row>
    <row r="48" ht="12.75" customHeight="1">
      <c r="A48" s="1"/>
      <c r="B48" s="1"/>
      <c r="C48" s="6"/>
      <c r="D48" s="51"/>
      <c r="E48" s="1"/>
      <c r="F48" s="1"/>
      <c r="G48" s="1"/>
      <c r="H48" s="1"/>
      <c r="I48" s="51"/>
      <c r="J48" s="8"/>
      <c r="K48" s="1"/>
    </row>
    <row r="49" ht="12.75" customHeight="1">
      <c r="A49" s="1" t="s">
        <v>97</v>
      </c>
      <c r="B49" s="4" t="s">
        <v>98</v>
      </c>
      <c r="C49" s="1"/>
      <c r="D49" s="1"/>
      <c r="E49" s="1"/>
      <c r="F49" s="1"/>
      <c r="G49" s="1"/>
      <c r="H49" s="1"/>
      <c r="I49" s="1"/>
      <c r="J49" s="1"/>
      <c r="K49" s="1"/>
    </row>
    <row r="50" ht="12.75" customHeight="1">
      <c r="A50" s="1"/>
      <c r="B50" s="1"/>
      <c r="C50" s="1"/>
      <c r="D50" s="8"/>
      <c r="E50" s="1"/>
      <c r="F50" s="1"/>
      <c r="G50" s="1"/>
      <c r="H50" s="1"/>
      <c r="I50" s="1"/>
      <c r="J50" s="1"/>
      <c r="K50" s="1"/>
    </row>
    <row r="51" ht="12.75" customHeight="1">
      <c r="A51" s="1"/>
      <c r="B51" s="56" t="s">
        <v>99</v>
      </c>
      <c r="C51" s="57" t="str">
        <f>C14</f>
        <v>cantor-organist</v>
      </c>
      <c r="D51" s="58"/>
      <c r="E51" s="59" t="s">
        <v>100</v>
      </c>
      <c r="F51" s="60" t="s">
        <v>101</v>
      </c>
      <c r="G51" s="61" t="s">
        <v>102</v>
      </c>
      <c r="H51" s="62"/>
      <c r="I51" s="49" t="s">
        <v>103</v>
      </c>
      <c r="J51" s="50"/>
      <c r="K51" s="1"/>
    </row>
    <row r="52" ht="12.75" customHeight="1">
      <c r="A52" s="1"/>
      <c r="B52" s="63" t="s">
        <v>104</v>
      </c>
      <c r="C52" s="64"/>
      <c r="D52" s="65"/>
      <c r="E52" s="8"/>
      <c r="F52" s="66"/>
      <c r="G52" s="67" t="s">
        <v>105</v>
      </c>
      <c r="H52" s="68" t="s">
        <v>106</v>
      </c>
      <c r="I52" s="69"/>
      <c r="J52" s="70"/>
      <c r="K52" s="1"/>
    </row>
    <row r="53" ht="12.75" customHeight="1">
      <c r="A53" s="1"/>
      <c r="B53" s="71" t="s">
        <v>167</v>
      </c>
      <c r="C53" s="72"/>
      <c r="D53" s="73"/>
      <c r="E53" s="8"/>
      <c r="F53" s="74">
        <f>Verdeling!$F$30</f>
        <v>60</v>
      </c>
      <c r="G53" s="8"/>
      <c r="H53" s="68"/>
      <c r="I53" s="8"/>
      <c r="J53" s="75"/>
      <c r="K53" s="1"/>
    </row>
    <row r="54" ht="12.75" customHeight="1">
      <c r="A54" s="1"/>
      <c r="B54" s="71" t="s">
        <v>108</v>
      </c>
      <c r="C54" s="21" t="str">
        <f>C5</f>
        <v/>
      </c>
      <c r="D54" s="76"/>
      <c r="E54" s="8">
        <v>30.0</v>
      </c>
      <c r="F54" s="77">
        <f>Verdeling!$M$40</f>
        <v>0</v>
      </c>
      <c r="G54" s="78">
        <f>F54*E54/52</f>
        <v>0</v>
      </c>
      <c r="H54" s="74"/>
      <c r="I54" s="47"/>
      <c r="J54" s="76"/>
      <c r="K54" s="1"/>
    </row>
    <row r="55" ht="12.75" customHeight="1">
      <c r="A55" s="1"/>
      <c r="B55" s="71" t="s">
        <v>168</v>
      </c>
      <c r="C55" s="1"/>
      <c r="D55" s="75"/>
      <c r="E55" s="8">
        <v>5.0</v>
      </c>
      <c r="F55" s="79">
        <v>0.0</v>
      </c>
      <c r="G55" s="78">
        <f>IF(AND($I$17=1,F53&gt;52),F55,F55*F54/52)</f>
        <v>0</v>
      </c>
      <c r="H55" s="77"/>
      <c r="I55" s="47"/>
      <c r="J55" s="76"/>
      <c r="K55" s="1"/>
    </row>
    <row r="56" ht="12.75" customHeight="1">
      <c r="A56" s="1"/>
      <c r="B56" s="71" t="s">
        <v>169</v>
      </c>
      <c r="C56" s="1"/>
      <c r="D56" s="75"/>
      <c r="E56" s="8" t="s">
        <v>111</v>
      </c>
      <c r="F56" s="79">
        <v>0.0</v>
      </c>
      <c r="G56" s="78">
        <f>IF(AND($I$17=1,F53&gt;52),F56,F56*F54/52)</f>
        <v>0</v>
      </c>
      <c r="H56" s="74"/>
      <c r="I56" s="47"/>
      <c r="J56" s="76"/>
      <c r="K56" s="1"/>
    </row>
    <row r="57" ht="12.75" customHeight="1">
      <c r="A57" s="1"/>
      <c r="B57" s="71" t="s">
        <v>170</v>
      </c>
      <c r="C57" s="1"/>
      <c r="D57" s="75"/>
      <c r="E57" s="8">
        <v>30.0</v>
      </c>
      <c r="F57" s="79">
        <v>0.0</v>
      </c>
      <c r="G57" s="78"/>
      <c r="H57" s="77">
        <f>IF(C14="organist",0,F57*E57/52)</f>
        <v>0</v>
      </c>
      <c r="I57" s="47"/>
      <c r="J57" s="76"/>
      <c r="K57" s="1"/>
    </row>
    <row r="58" ht="12.75" customHeight="1">
      <c r="A58" s="1"/>
      <c r="B58" s="71" t="s">
        <v>171</v>
      </c>
      <c r="C58" s="1"/>
      <c r="D58" s="75"/>
      <c r="E58" s="8">
        <v>185.0</v>
      </c>
      <c r="F58" s="79">
        <v>0.0</v>
      </c>
      <c r="G58" s="78">
        <f t="shared" ref="G58:G59" si="2">F58*E58/52</f>
        <v>0</v>
      </c>
      <c r="H58" s="80"/>
      <c r="I58" s="6"/>
      <c r="J58" s="75"/>
      <c r="K58" s="1"/>
    </row>
    <row r="59" ht="12.75" customHeight="1">
      <c r="A59" s="1"/>
      <c r="B59" s="71" t="s">
        <v>172</v>
      </c>
      <c r="C59" s="1"/>
      <c r="D59" s="75"/>
      <c r="E59" s="8">
        <v>40.0</v>
      </c>
      <c r="F59" s="79">
        <v>0.0</v>
      </c>
      <c r="G59" s="78">
        <f t="shared" si="2"/>
        <v>0</v>
      </c>
      <c r="H59" s="74"/>
      <c r="I59" s="6"/>
      <c r="J59" s="75"/>
      <c r="K59" s="1"/>
    </row>
    <row r="60" ht="12.75" customHeight="1">
      <c r="A60" s="1"/>
      <c r="B60" s="71" t="s">
        <v>173</v>
      </c>
      <c r="C60" s="1"/>
      <c r="D60" s="75"/>
      <c r="E60" s="8"/>
      <c r="F60" s="77"/>
      <c r="G60" s="78"/>
      <c r="H60" s="74"/>
      <c r="I60" s="47"/>
      <c r="J60" s="76"/>
      <c r="K60" s="1"/>
    </row>
    <row r="61" ht="12.75" customHeight="1">
      <c r="A61" s="1"/>
      <c r="B61" s="81" t="s">
        <v>116</v>
      </c>
      <c r="C61" s="3"/>
      <c r="D61" s="76"/>
      <c r="E61" s="1"/>
      <c r="F61" s="79">
        <v>0.0</v>
      </c>
      <c r="G61" s="82"/>
      <c r="H61" s="83"/>
      <c r="I61" s="84">
        <f t="shared" ref="I61:I63" si="3">F61</f>
        <v>0</v>
      </c>
      <c r="J61" s="76"/>
      <c r="K61" s="1"/>
    </row>
    <row r="62" ht="12.75" customHeight="1">
      <c r="A62" s="1"/>
      <c r="B62" s="81" t="s">
        <v>116</v>
      </c>
      <c r="C62" s="3"/>
      <c r="D62" s="76"/>
      <c r="E62" s="8"/>
      <c r="F62" s="79"/>
      <c r="G62" s="78"/>
      <c r="H62" s="74"/>
      <c r="I62" s="84" t="str">
        <f t="shared" si="3"/>
        <v/>
      </c>
      <c r="J62" s="76"/>
      <c r="K62" s="1"/>
    </row>
    <row r="63" ht="12.75" customHeight="1">
      <c r="A63" s="1"/>
      <c r="B63" s="81" t="s">
        <v>116</v>
      </c>
      <c r="C63" s="3"/>
      <c r="D63" s="76"/>
      <c r="E63" s="8"/>
      <c r="F63" s="79"/>
      <c r="G63" s="78"/>
      <c r="H63" s="74"/>
      <c r="I63" s="84" t="str">
        <f t="shared" si="3"/>
        <v/>
      </c>
      <c r="J63" s="76"/>
      <c r="K63" s="1"/>
    </row>
    <row r="64" ht="12.75" customHeight="1">
      <c r="A64" s="1"/>
      <c r="B64" s="81" t="s">
        <v>116</v>
      </c>
      <c r="C64" s="3"/>
      <c r="D64" s="76"/>
      <c r="E64" s="8"/>
      <c r="F64" s="79"/>
      <c r="G64" s="78"/>
      <c r="H64" s="74"/>
      <c r="I64" s="78"/>
      <c r="J64" s="85"/>
      <c r="K64" s="1"/>
    </row>
    <row r="65" ht="12.75" customHeight="1">
      <c r="A65" s="1"/>
      <c r="B65" s="86" t="s">
        <v>174</v>
      </c>
      <c r="C65" s="3"/>
      <c r="D65" s="76"/>
      <c r="E65" s="8"/>
      <c r="F65" s="77"/>
      <c r="G65" s="78"/>
      <c r="H65" s="74"/>
      <c r="I65" s="78"/>
      <c r="J65" s="85"/>
      <c r="K65" s="1"/>
    </row>
    <row r="66" ht="12.75" customHeight="1">
      <c r="A66" s="1"/>
      <c r="B66" s="81" t="s">
        <v>116</v>
      </c>
      <c r="C66" s="3"/>
      <c r="D66" s="76"/>
      <c r="E66" s="8"/>
      <c r="F66" s="79">
        <v>0.0</v>
      </c>
      <c r="G66" s="78"/>
      <c r="H66" s="74"/>
      <c r="I66" s="84">
        <f t="shared" ref="I66:I68" si="4">F66/52</f>
        <v>0</v>
      </c>
      <c r="J66" s="76"/>
      <c r="K66" s="1"/>
    </row>
    <row r="67" ht="12.75" customHeight="1">
      <c r="A67" s="1"/>
      <c r="B67" s="81" t="s">
        <v>116</v>
      </c>
      <c r="C67" s="3"/>
      <c r="D67" s="76"/>
      <c r="E67" s="8"/>
      <c r="F67" s="79"/>
      <c r="G67" s="78"/>
      <c r="H67" s="74"/>
      <c r="I67" s="84">
        <f t="shared" si="4"/>
        <v>0</v>
      </c>
      <c r="J67" s="76"/>
      <c r="K67" s="1"/>
    </row>
    <row r="68" ht="12.75" customHeight="1">
      <c r="A68" s="1"/>
      <c r="B68" s="87" t="s">
        <v>116</v>
      </c>
      <c r="C68" s="88"/>
      <c r="D68" s="55"/>
      <c r="E68" s="18"/>
      <c r="F68" s="89"/>
      <c r="G68" s="78"/>
      <c r="H68" s="90"/>
      <c r="I68" s="91">
        <f t="shared" si="4"/>
        <v>0</v>
      </c>
      <c r="J68" s="55"/>
      <c r="K68" s="1"/>
    </row>
    <row r="69" ht="12.75" customHeight="1">
      <c r="A69" s="1"/>
      <c r="B69" s="92" t="s">
        <v>118</v>
      </c>
      <c r="C69" s="18"/>
      <c r="D69" s="18"/>
      <c r="E69" s="18"/>
      <c r="F69" s="93"/>
      <c r="G69" s="94">
        <f t="shared" ref="G69:I69" si="5">SUM(G54:G68)</f>
        <v>0</v>
      </c>
      <c r="H69" s="95">
        <f t="shared" si="5"/>
        <v>0</v>
      </c>
      <c r="I69" s="96">
        <f t="shared" si="5"/>
        <v>0</v>
      </c>
      <c r="J69" s="50"/>
      <c r="K69" s="1"/>
    </row>
    <row r="70" ht="12.75" customHeight="1">
      <c r="A70" s="1"/>
      <c r="B70" s="1"/>
      <c r="C70" s="1"/>
      <c r="D70" s="1"/>
      <c r="E70" s="1"/>
      <c r="F70" s="1"/>
      <c r="G70" s="78"/>
      <c r="H70" s="78"/>
      <c r="I70" s="78"/>
      <c r="J70" s="82"/>
      <c r="K70" s="1"/>
    </row>
    <row r="71" ht="12.75" customHeight="1">
      <c r="A71" s="1"/>
      <c r="B71" s="1"/>
      <c r="C71" s="1"/>
      <c r="D71" s="1"/>
      <c r="E71" s="1"/>
      <c r="F71" s="1"/>
      <c r="G71" s="97" t="s">
        <v>119</v>
      </c>
      <c r="H71" s="97" t="s">
        <v>120</v>
      </c>
      <c r="I71" s="98" t="s">
        <v>121</v>
      </c>
      <c r="J71" s="50"/>
      <c r="K71" s="1"/>
    </row>
    <row r="72" ht="12.75" customHeight="1">
      <c r="A72" s="1"/>
      <c r="B72" s="56" t="s">
        <v>175</v>
      </c>
      <c r="C72" s="99"/>
      <c r="D72" s="99"/>
      <c r="E72" s="99"/>
      <c r="F72" s="99"/>
      <c r="G72" s="100">
        <f>IF($F$41="III",0.07*$G$69,0.09*$G$69)</f>
        <v>0</v>
      </c>
      <c r="H72" s="100">
        <f>IF($I$41="III",0.07*$H$69,0.09*$H$69)</f>
        <v>0</v>
      </c>
      <c r="I72" s="101">
        <f>$I$69</f>
        <v>0</v>
      </c>
      <c r="J72" s="50"/>
      <c r="K72" s="1"/>
    </row>
    <row r="73" ht="12.75" customHeight="1">
      <c r="A73" s="1"/>
      <c r="B73" s="56" t="s">
        <v>123</v>
      </c>
      <c r="C73" s="99"/>
      <c r="D73" s="99"/>
      <c r="E73" s="99"/>
      <c r="F73" s="99"/>
      <c r="G73" s="102">
        <f>$G$72+$H$72+$I$72</f>
        <v>0</v>
      </c>
      <c r="H73" s="103"/>
      <c r="I73" s="103"/>
      <c r="J73" s="50"/>
      <c r="K73" s="1"/>
    </row>
    <row r="74" ht="12.75" customHeight="1">
      <c r="A74" s="1"/>
      <c r="B74" s="1"/>
      <c r="C74" s="1"/>
      <c r="D74" s="1"/>
      <c r="E74" s="1"/>
      <c r="F74" s="1"/>
      <c r="G74" s="78"/>
      <c r="H74" s="6"/>
      <c r="I74" s="6"/>
      <c r="J74" s="6"/>
      <c r="K74" s="1"/>
    </row>
    <row r="75" ht="12.75" customHeight="1">
      <c r="A75" s="1" t="s">
        <v>124</v>
      </c>
      <c r="B75" s="4" t="s">
        <v>125</v>
      </c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 t="s">
        <v>126</v>
      </c>
      <c r="C77" s="104" t="str">
        <f>C5</f>
        <v/>
      </c>
      <c r="D77" s="3"/>
      <c r="E77" s="1" t="s">
        <v>127</v>
      </c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 t="s">
        <v>128</v>
      </c>
      <c r="C80" s="82">
        <f>$G$69</f>
        <v>0</v>
      </c>
      <c r="D80" s="8" t="s">
        <v>129</v>
      </c>
      <c r="E80" s="105">
        <f>$F$45</f>
        <v>1.175600641</v>
      </c>
      <c r="F80" s="3"/>
      <c r="G80" s="1"/>
      <c r="H80" s="106" t="s">
        <v>130</v>
      </c>
      <c r="I80" s="107">
        <f t="shared" ref="I80:I82" si="6">C80*E80</f>
        <v>0</v>
      </c>
      <c r="J80" s="3"/>
      <c r="K80" s="1"/>
    </row>
    <row r="81" ht="12.75" customHeight="1">
      <c r="A81" s="1"/>
      <c r="B81" s="1" t="s">
        <v>131</v>
      </c>
      <c r="C81" s="82">
        <f>$H$69</f>
        <v>0</v>
      </c>
      <c r="D81" s="8" t="s">
        <v>129</v>
      </c>
      <c r="E81" s="108">
        <f>$I$45</f>
        <v>2.536136538</v>
      </c>
      <c r="F81" s="3"/>
      <c r="G81" s="1"/>
      <c r="H81" s="106" t="s">
        <v>130</v>
      </c>
      <c r="I81" s="107">
        <f t="shared" si="6"/>
        <v>0</v>
      </c>
      <c r="J81" s="3"/>
      <c r="K81" s="1"/>
    </row>
    <row r="82" ht="12.75" customHeight="1">
      <c r="A82" s="1"/>
      <c r="B82" s="1" t="s">
        <v>132</v>
      </c>
      <c r="C82" s="82">
        <f>$I$69</f>
        <v>0</v>
      </c>
      <c r="D82" s="8" t="s">
        <v>129</v>
      </c>
      <c r="E82" s="108">
        <f>IF($I$69=0,0,$F$46)</f>
        <v>0</v>
      </c>
      <c r="F82" s="3"/>
      <c r="G82" s="1"/>
      <c r="H82" s="106" t="s">
        <v>130</v>
      </c>
      <c r="I82" s="107">
        <f t="shared" si="6"/>
        <v>0</v>
      </c>
      <c r="J82" s="3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25" t="s">
        <v>133</v>
      </c>
      <c r="I83" s="107">
        <f>SUM(I80:I82)</f>
        <v>0</v>
      </c>
      <c r="J83" s="3"/>
      <c r="K83" s="1"/>
    </row>
    <row r="84" ht="12.75" customHeight="1">
      <c r="A84" s="1"/>
      <c r="B84" s="1"/>
      <c r="C84" s="6"/>
      <c r="D84" s="1"/>
      <c r="E84" s="1"/>
      <c r="F84" s="1"/>
      <c r="G84" s="1"/>
      <c r="H84" s="109"/>
      <c r="I84" s="3"/>
      <c r="J84" s="109"/>
      <c r="K84" s="3"/>
    </row>
    <row r="85" ht="12.75" customHeight="1">
      <c r="A85" s="1"/>
      <c r="B85" s="1"/>
      <c r="C85" s="1"/>
      <c r="D85" s="1"/>
      <c r="E85" s="1"/>
      <c r="F85" s="1"/>
      <c r="G85" s="25"/>
      <c r="H85" s="107"/>
      <c r="I85" s="3"/>
      <c r="J85" s="107"/>
      <c r="K85" s="3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10" t="s">
        <v>134</v>
      </c>
      <c r="D87" s="111" t="s">
        <v>135</v>
      </c>
      <c r="E87" s="112" t="s">
        <v>136</v>
      </c>
      <c r="F87" s="53"/>
      <c r="G87" s="47"/>
      <c r="H87" s="3"/>
      <c r="I87" s="4"/>
      <c r="J87" s="1"/>
      <c r="K87" s="1"/>
    </row>
    <row r="88" ht="12.75" customHeight="1">
      <c r="A88" s="1"/>
      <c r="B88" s="1"/>
      <c r="C88" s="113">
        <f>$I$83*52/12</f>
        <v>0</v>
      </c>
      <c r="D88" s="114">
        <f>$C$88*12</f>
        <v>0</v>
      </c>
      <c r="E88" s="115">
        <f>$G$73/36</f>
        <v>0</v>
      </c>
      <c r="F88" s="55"/>
      <c r="G88" s="116"/>
      <c r="H88" s="3"/>
      <c r="I88" s="1"/>
      <c r="J88" s="1"/>
      <c r="K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05"/>
      <c r="K89" s="3"/>
    </row>
    <row r="90" ht="12.75" customHeight="1">
      <c r="A90" s="1"/>
      <c r="B90" s="27" t="str">
        <f>IF($F$54=0,"Geen diensten toegewezen",IF(Verdeling!$M$46=Verdeling!$F$30,"","Diensten niet juist verdeeld. Zie blad 'Verdeling'"))</f>
        <v>Geen diensten toegewezen</v>
      </c>
      <c r="C90" s="1"/>
      <c r="D90" s="1"/>
      <c r="E90" s="1"/>
      <c r="F90" s="117" t="str">
        <f>IF(OR(Cantor!$F$53&gt;4,('KM1'!$F$55+'KM2'!$F$55+'KM3'!$F$55+'KM4'!$F$55+'KM5'!$F$55)&gt;4),"","vorming is onjuist ingevuld")</f>
        <v/>
      </c>
      <c r="G90" s="1"/>
      <c r="H90" s="1"/>
      <c r="I90" s="1"/>
      <c r="J90" s="1"/>
      <c r="K90" s="1"/>
    </row>
    <row r="91" ht="12.75" customHeight="1">
      <c r="A91" s="1"/>
      <c r="B91" s="117"/>
      <c r="C91" s="1"/>
      <c r="D91" s="1"/>
      <c r="E91" s="1"/>
      <c r="F91" s="1"/>
      <c r="G91" s="82"/>
      <c r="H91" s="1"/>
      <c r="I91" s="1"/>
      <c r="J91" s="1"/>
      <c r="K91" s="1"/>
    </row>
    <row r="92" ht="15.75" customHeight="1">
      <c r="A92" s="1"/>
      <c r="B92" s="117" t="str">
        <f>IF(('KM1'!$F$56+'KM2'!$F$56+'KM3'!$F$56+'KM4'!$F$56+'KM5'!$F$56)&gt;4,"","klein onderhoud is onjuist ingevuld")</f>
        <v/>
      </c>
      <c r="C92" s="1"/>
      <c r="D92" s="1"/>
      <c r="E92" s="1"/>
      <c r="F92" s="120"/>
      <c r="G92" s="1"/>
      <c r="H92" s="1"/>
      <c r="I92" s="1"/>
      <c r="J92" s="1"/>
      <c r="K92" s="1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0">
    <mergeCell ref="B65:D65"/>
    <mergeCell ref="B66:D66"/>
    <mergeCell ref="B67:D67"/>
    <mergeCell ref="B68:D68"/>
    <mergeCell ref="F45:G45"/>
    <mergeCell ref="F46:G46"/>
    <mergeCell ref="C54:D54"/>
    <mergeCell ref="B61:D61"/>
    <mergeCell ref="B62:D62"/>
    <mergeCell ref="B63:D63"/>
    <mergeCell ref="B64:D64"/>
    <mergeCell ref="E81:F81"/>
    <mergeCell ref="E82:F82"/>
    <mergeCell ref="E87:F87"/>
    <mergeCell ref="E88:F88"/>
    <mergeCell ref="I71:J71"/>
    <mergeCell ref="I72:J72"/>
    <mergeCell ref="G73:J73"/>
    <mergeCell ref="C77:D77"/>
    <mergeCell ref="E80:F80"/>
    <mergeCell ref="I80:J80"/>
    <mergeCell ref="I81:J81"/>
    <mergeCell ref="G88:H88"/>
    <mergeCell ref="J89:K89"/>
    <mergeCell ref="I82:J82"/>
    <mergeCell ref="I83:J83"/>
    <mergeCell ref="H84:I84"/>
    <mergeCell ref="J84:K84"/>
    <mergeCell ref="H85:I85"/>
    <mergeCell ref="J85:K85"/>
    <mergeCell ref="G87:H87"/>
    <mergeCell ref="A2:I2"/>
    <mergeCell ref="I3:J3"/>
    <mergeCell ref="C5:D5"/>
    <mergeCell ref="I5:J5"/>
    <mergeCell ref="C8:D8"/>
    <mergeCell ref="C9:D9"/>
    <mergeCell ref="C11:D11"/>
    <mergeCell ref="C12:D12"/>
    <mergeCell ref="C14:D14"/>
    <mergeCell ref="I14:K14"/>
    <mergeCell ref="I15:K15"/>
    <mergeCell ref="H21:J21"/>
    <mergeCell ref="H22:J22"/>
    <mergeCell ref="I26:J26"/>
    <mergeCell ref="F26:H26"/>
    <mergeCell ref="F27:H27"/>
    <mergeCell ref="I27:J27"/>
    <mergeCell ref="F32:G32"/>
    <mergeCell ref="F35:G35"/>
    <mergeCell ref="I35:J35"/>
    <mergeCell ref="I36:J36"/>
    <mergeCell ref="F36:G36"/>
    <mergeCell ref="F37:G37"/>
    <mergeCell ref="F38:G38"/>
    <mergeCell ref="F39:G39"/>
    <mergeCell ref="F41:G41"/>
    <mergeCell ref="F42:G42"/>
    <mergeCell ref="F43:G43"/>
    <mergeCell ref="I37:J37"/>
    <mergeCell ref="I38:J38"/>
    <mergeCell ref="I39:J39"/>
    <mergeCell ref="I41:J41"/>
    <mergeCell ref="I42:J42"/>
    <mergeCell ref="I43:J43"/>
    <mergeCell ref="I45:J45"/>
    <mergeCell ref="I46:J46"/>
    <mergeCell ref="I51:J51"/>
    <mergeCell ref="I54:J54"/>
    <mergeCell ref="I55:J55"/>
    <mergeCell ref="I56:J56"/>
    <mergeCell ref="I57:J57"/>
    <mergeCell ref="I60:J60"/>
    <mergeCell ref="I61:J61"/>
    <mergeCell ref="I62:J62"/>
    <mergeCell ref="I63:J63"/>
    <mergeCell ref="I66:J66"/>
    <mergeCell ref="I67:J67"/>
    <mergeCell ref="I68:J68"/>
    <mergeCell ref="I69:J69"/>
  </mergeCells>
  <printOptions/>
  <pageMargins bottom="0.75" footer="0.0" header="0.0" left="0.7" right="0.7" top="0.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24.88"/>
    <col customWidth="1" min="3" max="3" width="18.88"/>
    <col customWidth="1" min="4" max="4" width="17.0"/>
    <col customWidth="1" min="5" max="11" width="9.13"/>
    <col customWidth="1" min="12" max="26" width="14.38"/>
  </cols>
  <sheetData>
    <row r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2.75" customHeight="1">
      <c r="A2" s="2" t="s">
        <v>176</v>
      </c>
      <c r="B2" s="3"/>
      <c r="C2" s="3"/>
      <c r="D2" s="3"/>
      <c r="E2" s="3"/>
      <c r="F2" s="3"/>
      <c r="G2" s="3"/>
      <c r="H2" s="3"/>
      <c r="I2" s="3"/>
      <c r="J2" s="32"/>
      <c r="K2" s="32"/>
    </row>
    <row r="3" ht="12.75" customHeight="1">
      <c r="A3" s="1"/>
      <c r="B3" s="1"/>
      <c r="C3" s="1"/>
      <c r="D3" s="1"/>
      <c r="E3" s="1" t="s">
        <v>45</v>
      </c>
      <c r="F3" s="1"/>
      <c r="G3" s="1"/>
      <c r="H3" s="1"/>
      <c r="I3" s="33">
        <v>39452.0</v>
      </c>
      <c r="J3" s="3"/>
      <c r="K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34"/>
      <c r="K4" s="1"/>
    </row>
    <row r="5" ht="12.75" customHeight="1">
      <c r="A5" s="1" t="s">
        <v>46</v>
      </c>
      <c r="B5" s="1" t="s">
        <v>47</v>
      </c>
      <c r="C5" s="35"/>
      <c r="D5" s="3"/>
      <c r="E5" s="1"/>
      <c r="F5" s="1"/>
      <c r="G5" s="25" t="s">
        <v>49</v>
      </c>
      <c r="H5" s="1"/>
      <c r="I5" s="33">
        <v>24019.0</v>
      </c>
      <c r="J5" s="3"/>
      <c r="K5" s="1"/>
    </row>
    <row r="6" ht="12.75" customHeight="1">
      <c r="A6" s="1"/>
      <c r="B6" s="1" t="s">
        <v>50</v>
      </c>
      <c r="C6" s="36"/>
      <c r="D6" s="11"/>
      <c r="E6" s="1"/>
      <c r="F6" s="1"/>
      <c r="G6" s="25" t="s">
        <v>51</v>
      </c>
      <c r="H6" s="37">
        <f>IF(DATE(YEAR($I$3),MONTH(I5),DAY(I5))&lt;=$I$3,YEAR($I$3)-YEAR(I5),YEAR($I$3)-YEAR(I5)-1)</f>
        <v>42</v>
      </c>
      <c r="I6" s="1"/>
      <c r="J6" s="1"/>
      <c r="K6" s="1"/>
    </row>
    <row r="7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</row>
    <row r="8" ht="12.75" customHeight="1">
      <c r="A8" s="1"/>
      <c r="B8" s="1" t="s">
        <v>52</v>
      </c>
      <c r="C8" s="35"/>
      <c r="D8" s="3"/>
      <c r="E8" s="1"/>
      <c r="F8" s="1"/>
      <c r="G8" s="1"/>
      <c r="H8" s="1"/>
      <c r="I8" s="1"/>
      <c r="J8" s="1"/>
      <c r="K8" s="1"/>
    </row>
    <row r="9" ht="12.75" customHeight="1">
      <c r="A9" s="1"/>
      <c r="B9" s="1" t="s">
        <v>54</v>
      </c>
      <c r="C9" s="35"/>
      <c r="D9" s="3"/>
      <c r="E9" s="1"/>
      <c r="F9" s="1"/>
      <c r="G9" s="1"/>
      <c r="H9" s="1"/>
      <c r="I9" s="1"/>
      <c r="J9" s="1"/>
      <c r="K9" s="1"/>
    </row>
    <row r="10" ht="12.75" customHeight="1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</row>
    <row r="11" ht="12.75" customHeight="1">
      <c r="A11" s="1"/>
      <c r="B11" s="1" t="s">
        <v>56</v>
      </c>
      <c r="C11" s="35"/>
      <c r="D11" s="3"/>
      <c r="E11" s="1"/>
      <c r="F11" s="1"/>
      <c r="G11" s="1"/>
      <c r="H11" s="1"/>
      <c r="I11" s="1"/>
      <c r="J11" s="1"/>
      <c r="K11" s="1"/>
    </row>
    <row r="12" ht="12.75" customHeight="1">
      <c r="A12" s="1"/>
      <c r="B12" s="1" t="s">
        <v>58</v>
      </c>
      <c r="C12" s="118"/>
      <c r="D12" s="3"/>
      <c r="E12" s="1"/>
      <c r="F12" s="27" t="str">
        <f>IF(OR(C14="organist",C14="cantor-organist"),"","benaming aanstelling onjuist")</f>
        <v/>
      </c>
      <c r="G12" s="1"/>
      <c r="H12" s="1"/>
      <c r="I12" s="1"/>
      <c r="J12" s="1"/>
      <c r="K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>
      <c r="A14" s="1"/>
      <c r="B14" s="1" t="s">
        <v>60</v>
      </c>
      <c r="C14" s="39" t="s">
        <v>61</v>
      </c>
      <c r="D14" s="3"/>
      <c r="E14" s="1" t="s">
        <v>62</v>
      </c>
      <c r="F14" s="1"/>
      <c r="G14" s="1"/>
      <c r="H14" s="1"/>
      <c r="I14" s="29" t="str">
        <f>'KM1'!I14</f>
        <v>Voorbeeld</v>
      </c>
      <c r="J14" s="3"/>
      <c r="K14" s="3"/>
    </row>
    <row r="15" ht="12.75" customHeight="1">
      <c r="A15" s="1"/>
      <c r="B15" s="27" t="str">
        <f>IF(C14="cantor","voor cantor: zie werkblad Cantor","")</f>
        <v/>
      </c>
      <c r="C15" s="1"/>
      <c r="D15" s="1"/>
      <c r="E15" s="1"/>
      <c r="F15" s="1"/>
      <c r="G15" s="8" t="s">
        <v>64</v>
      </c>
      <c r="H15" s="1"/>
      <c r="I15" s="29" t="str">
        <f>'KM1'!$I$15</f>
        <v>Grote Kerk</v>
      </c>
      <c r="J15" s="3"/>
      <c r="K15" s="3"/>
    </row>
    <row r="16" ht="12.75" customHeight="1">
      <c r="A16" s="1"/>
      <c r="B16" s="1"/>
      <c r="C16" s="1"/>
      <c r="D16" s="25"/>
      <c r="E16" s="1"/>
      <c r="F16" s="4"/>
      <c r="G16" s="1"/>
      <c r="H16" s="1"/>
      <c r="I16" s="1"/>
      <c r="J16" s="1"/>
      <c r="K16" s="1"/>
    </row>
    <row r="17" ht="12.75" customHeight="1">
      <c r="A17" s="1"/>
      <c r="B17" s="1" t="s">
        <v>66</v>
      </c>
      <c r="C17" s="5" t="str">
        <f>I15</f>
        <v>Grote Kerk</v>
      </c>
      <c r="D17" s="25"/>
      <c r="E17" s="1" t="s">
        <v>67</v>
      </c>
      <c r="F17" s="4"/>
      <c r="G17" s="1"/>
      <c r="H17" s="1"/>
      <c r="I17" s="6">
        <f>'KM1'!$I$17</f>
        <v>5</v>
      </c>
      <c r="J17" s="1" t="s">
        <v>68</v>
      </c>
      <c r="K17" s="1"/>
    </row>
    <row r="18" ht="12.75" customHeight="1">
      <c r="A18" s="1"/>
      <c r="B18" s="1"/>
      <c r="C18" s="1"/>
      <c r="D18" s="25"/>
      <c r="E18" s="1"/>
      <c r="F18" s="4"/>
      <c r="G18" s="25"/>
      <c r="H18" s="1"/>
      <c r="I18" s="37"/>
      <c r="J18" s="1"/>
      <c r="K18" s="1"/>
    </row>
    <row r="19" ht="12.75" customHeight="1">
      <c r="A19" s="1" t="s">
        <v>1</v>
      </c>
      <c r="B19" s="4" t="s">
        <v>69</v>
      </c>
      <c r="C19" s="1"/>
      <c r="D19" s="1"/>
      <c r="E19" s="1"/>
      <c r="F19" s="1"/>
      <c r="G19" s="1"/>
      <c r="H19" s="1"/>
      <c r="I19" s="1"/>
      <c r="J19" s="1"/>
      <c r="K19" s="1"/>
    </row>
    <row r="20" ht="12.75" customHeight="1">
      <c r="A20" s="1"/>
      <c r="B20" s="1" t="s">
        <v>70</v>
      </c>
      <c r="C20" s="1"/>
      <c r="D20" s="1"/>
      <c r="E20" s="1"/>
      <c r="F20" s="1"/>
      <c r="G20" s="1"/>
      <c r="H20" s="1"/>
      <c r="I20" s="1"/>
      <c r="J20" s="1"/>
      <c r="K20" s="1"/>
    </row>
    <row r="21" ht="12.75" customHeight="1">
      <c r="A21" s="1"/>
      <c r="B21" s="24" t="s">
        <v>71</v>
      </c>
      <c r="C21" s="6" t="str">
        <f>'KM1'!C21</f>
        <v>iii</v>
      </c>
      <c r="D21" s="40" t="str">
        <f t="shared" ref="D21:D22" si="1">IF(C21="I","",IF(C21="II","",IF(C21="III","",IF(C21="nvt","","  onjuiste invoer"))))</f>
        <v/>
      </c>
      <c r="E21" s="1"/>
      <c r="F21" s="1"/>
      <c r="G21" s="25" t="s">
        <v>73</v>
      </c>
      <c r="H21" s="119">
        <f>'KM1'!H21</f>
        <v>36161</v>
      </c>
      <c r="I21" s="3"/>
      <c r="J21" s="3"/>
      <c r="K21" s="1"/>
    </row>
    <row r="22" ht="12.75" customHeight="1">
      <c r="A22" s="1"/>
      <c r="B22" s="24" t="s">
        <v>74</v>
      </c>
      <c r="C22" s="6" t="str">
        <f>'KM1'!C22</f>
        <v>I</v>
      </c>
      <c r="D22" s="40" t="str">
        <f t="shared" si="1"/>
        <v/>
      </c>
      <c r="E22" s="1"/>
      <c r="F22" s="1"/>
      <c r="G22" s="25" t="s">
        <v>73</v>
      </c>
      <c r="H22" s="119">
        <f>'KM1'!H22</f>
        <v>36526</v>
      </c>
      <c r="I22" s="3"/>
      <c r="J22" s="3"/>
      <c r="K22" s="1"/>
    </row>
    <row r="23" ht="12.75" customHeight="1">
      <c r="A23" s="1"/>
      <c r="B23" s="41" t="str">
        <f>IF(OR($C$21="I",$C$21="II",$C$21="III"),"","functieniveau orgel niet juist ingevuld")</f>
        <v/>
      </c>
      <c r="C23" s="1"/>
      <c r="D23" s="42" t="str">
        <f>IF(AND(C21="nvt",C22="nvt"),"welke functie is van toepassing?"," ")</f>
        <v> </v>
      </c>
      <c r="E23" s="1"/>
      <c r="F23" s="1"/>
      <c r="G23" s="1"/>
      <c r="H23" s="1"/>
      <c r="I23" s="1"/>
      <c r="J23" s="1"/>
      <c r="K23" s="1"/>
    </row>
    <row r="24" ht="12.75" customHeight="1">
      <c r="A24" s="1" t="s">
        <v>32</v>
      </c>
      <c r="B24" s="4" t="s">
        <v>76</v>
      </c>
      <c r="C24" s="8"/>
      <c r="D24" s="8"/>
      <c r="E24" s="1"/>
      <c r="F24" s="1"/>
      <c r="G24" s="1"/>
      <c r="H24" s="1"/>
      <c r="I24" s="1"/>
      <c r="J24" s="1"/>
      <c r="K24" s="1"/>
    </row>
    <row r="25" ht="12.75" customHeight="1">
      <c r="A25" s="1"/>
      <c r="B25" s="1" t="s">
        <v>77</v>
      </c>
      <c r="C25" s="8"/>
      <c r="D25" s="40" t="str">
        <f>IF(C26="I","",IF(C26="II","",IF(C26="III","",IF(C26="geen","","onjuiste invoer orgel"))))</f>
        <v/>
      </c>
      <c r="E25" s="1"/>
      <c r="F25" s="40" t="str">
        <f>IF(C27="I","",IF(C27="II","",IF(C27="III","",IF(C27="geen","","onjuiste invoer cantoraat"))))</f>
        <v/>
      </c>
      <c r="G25" s="1"/>
      <c r="H25" s="1"/>
      <c r="I25" s="1"/>
      <c r="J25" s="28" t="str">
        <f>IF(OR(C26="I",C26="II",C26="III"),IF(I26&gt;I5,IF(I26&lt;I3,"","onjuist"),"datum ligt voor geboortedatum"),IF(C26="geen",IF(I26="nvt","","onjuist"),"onjuist"))</f>
        <v/>
      </c>
      <c r="K25" s="1"/>
    </row>
    <row r="26" ht="12.75" customHeight="1">
      <c r="A26" s="1"/>
      <c r="B26" s="24" t="s">
        <v>71</v>
      </c>
      <c r="C26" s="7" t="s">
        <v>78</v>
      </c>
      <c r="D26" s="1"/>
      <c r="E26" s="25" t="s">
        <v>79</v>
      </c>
      <c r="F26" s="43" t="s">
        <v>177</v>
      </c>
      <c r="G26" s="3"/>
      <c r="H26" s="3"/>
      <c r="I26" s="33">
        <v>36692.0</v>
      </c>
      <c r="J26" s="3"/>
      <c r="K26" s="1"/>
    </row>
    <row r="27" ht="12.75" customHeight="1">
      <c r="A27" s="1"/>
      <c r="B27" s="24" t="s">
        <v>74</v>
      </c>
      <c r="C27" s="7" t="s">
        <v>139</v>
      </c>
      <c r="D27" s="44"/>
      <c r="E27" s="25" t="s">
        <v>79</v>
      </c>
      <c r="F27" s="43"/>
      <c r="G27" s="3"/>
      <c r="H27" s="3"/>
      <c r="I27" s="33" t="s">
        <v>140</v>
      </c>
      <c r="J27" s="3"/>
      <c r="K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28" t="str">
        <f>IF(OR(C27="I",C27="II",C27="III"),IF(I27&gt;I5,IF(I27&lt;I3,"","onjuist"),"datum ligt voor geboortedatum"),IF(C27="geen",IF(I27="nvt","","onjuist"),"onjuist"))</f>
        <v/>
      </c>
      <c r="K28" s="1"/>
    </row>
    <row r="29" ht="12.75" customHeight="1">
      <c r="A29" s="1" t="s">
        <v>81</v>
      </c>
      <c r="B29" s="4" t="s">
        <v>82</v>
      </c>
      <c r="C29" s="1"/>
      <c r="D29" s="1"/>
      <c r="E29" s="1"/>
      <c r="F29" s="1"/>
      <c r="G29" s="1"/>
      <c r="H29" s="1"/>
      <c r="I29" s="1"/>
      <c r="J29" s="1"/>
      <c r="K29" s="28" t="s">
        <v>83</v>
      </c>
    </row>
    <row r="30" ht="12.75" customHeight="1">
      <c r="A30" s="1"/>
      <c r="B30" s="4"/>
      <c r="C30" s="1"/>
      <c r="D30" s="1"/>
      <c r="E30" s="1"/>
      <c r="F30" s="4"/>
      <c r="G30" s="1"/>
      <c r="H30" s="1"/>
      <c r="I30" s="4"/>
      <c r="J30" s="1"/>
      <c r="K30" s="1"/>
    </row>
    <row r="31" ht="16.5" customHeight="1">
      <c r="A31" s="1"/>
      <c r="B31" s="1" t="s">
        <v>84</v>
      </c>
      <c r="C31" s="5" t="str">
        <f>$I$14</f>
        <v>Voorbeeld</v>
      </c>
      <c r="D31" s="1"/>
      <c r="E31" s="40" t="str">
        <f>IF($E$36&gt;0,IF($F$37="onbev","onbevoegd, geen dienstjaren orgel vorige betrekkingen","" ),"")</f>
        <v/>
      </c>
      <c r="F31" s="1"/>
      <c r="G31" s="1"/>
      <c r="H31" s="1"/>
      <c r="I31" s="1"/>
      <c r="J31" s="1"/>
      <c r="K31" s="1"/>
    </row>
    <row r="32" ht="12.75" customHeight="1">
      <c r="A32" s="1"/>
      <c r="B32" s="1" t="s">
        <v>85</v>
      </c>
      <c r="C32" s="1"/>
      <c r="D32" s="1"/>
      <c r="E32" s="1"/>
      <c r="F32" s="33">
        <v>36692.0</v>
      </c>
      <c r="G32" s="3"/>
      <c r="H32" s="1"/>
      <c r="I32" s="40" t="str">
        <f>IF($H$36&gt;0,IF($I$37="onbev","cantor is onbevoegd, geen dienstjaren uit vorige betrekkingen","" ),"")</f>
        <v/>
      </c>
      <c r="J32" s="8"/>
      <c r="K32" s="1"/>
    </row>
    <row r="33" ht="12.75" customHeight="1">
      <c r="A33" s="1"/>
      <c r="B33" s="1"/>
      <c r="C33" s="27" t="str">
        <f>IF(OR($F$32="nvt",$F$37="onbev",E36=0),"",IF((DAYS360($I$26,$F$32)-($E$36*360-1))&gt;0,"","onjuiste invoer dienstjaren orgel vorige betrekkingen"))</f>
        <v/>
      </c>
      <c r="D33" s="1"/>
      <c r="E33" s="1"/>
      <c r="F33" s="44"/>
      <c r="G33" s="1"/>
      <c r="H33" s="1"/>
      <c r="I33" s="27" t="str">
        <f>IF(F32="nvt","",IF((DAYS360($I$5,$F$32))&gt;0,"","benoemingsdatum is in strijd met geboortedatum"))</f>
        <v/>
      </c>
      <c r="J33" s="1"/>
      <c r="K33" s="40"/>
    </row>
    <row r="34" ht="12.75" customHeight="1">
      <c r="A34" s="1"/>
      <c r="B34" s="1"/>
      <c r="C34" s="1"/>
      <c r="D34" s="27"/>
      <c r="E34" s="1"/>
      <c r="F34" s="27" t="str">
        <f>IF(OR($F$32="nvt",$I$37="onbev",$H$36=0),"",IF((DAYS360($I$27,$F$32)-($H$36*360-1))&gt;0,"","onjuiste invoer dienstjaren cantoraat vorige betrekkingen"))</f>
        <v/>
      </c>
      <c r="G34" s="1"/>
      <c r="H34" s="1"/>
      <c r="I34" s="4"/>
      <c r="J34" s="1"/>
      <c r="K34" s="40"/>
    </row>
    <row r="35" ht="12.75" customHeight="1">
      <c r="A35" s="1"/>
      <c r="B35" s="1"/>
      <c r="C35" s="1"/>
      <c r="D35" s="27"/>
      <c r="E35" s="1"/>
      <c r="F35" s="46" t="s">
        <v>86</v>
      </c>
      <c r="G35" s="3"/>
      <c r="H35" s="1"/>
      <c r="I35" s="29" t="s">
        <v>87</v>
      </c>
      <c r="J35" s="3"/>
      <c r="K35" s="1"/>
    </row>
    <row r="36" ht="12.75" customHeight="1">
      <c r="A36" s="1"/>
      <c r="B36" s="1" t="s">
        <v>88</v>
      </c>
      <c r="C36" s="1"/>
      <c r="D36" s="1"/>
      <c r="E36" s="7">
        <v>0.0</v>
      </c>
      <c r="F36" s="47">
        <f>IF(OR($C$26="geen",$I$26="nvt"),0,IF((DAYS360($I$26,$F$32)-($E$36*360-1))&gt;0,$E$36,0))</f>
        <v>0</v>
      </c>
      <c r="G36" s="3"/>
      <c r="H36" s="7">
        <v>0.0</v>
      </c>
      <c r="I36" s="47">
        <f>IF(OR($C$27="geen",$I$27="nvt"),0,IF((DAYS360($I$27,$F$32)-($H$36*360-1))&gt;0,$H$36,0))</f>
        <v>0</v>
      </c>
      <c r="J36" s="3"/>
      <c r="K36" s="1"/>
    </row>
    <row r="37" ht="12.75" customHeight="1">
      <c r="A37" s="1"/>
      <c r="B37" s="1" t="s">
        <v>89</v>
      </c>
      <c r="C37" s="1"/>
      <c r="D37" s="8"/>
      <c r="E37" s="1"/>
      <c r="F37" s="47">
        <f>IF($I$26="nvt","onbev",IF($F$26="nvt",0,IF($F$32&gt;$I$26,ROUNDDOWN(($I$3-$F$32)/365,0),IF($I$3&gt;$I$26,ROUNDDOWN(($I$3-$I$26)/365,0),0))))</f>
        <v>7</v>
      </c>
      <c r="G37" s="3"/>
      <c r="H37" s="1"/>
      <c r="I37" s="47" t="str">
        <f>IF($I$27="nvt","onbev",IF($F$27="nvt",0,IF($F$32&gt;$I$27,ROUNDDOWN(($I$3-$F$32)/365,0),IF($I$3&gt;$I$27,ROUNDDOWN(($I$3-$I$27)/365,0),0))))</f>
        <v>onbev</v>
      </c>
      <c r="J37" s="3"/>
      <c r="K37" s="1"/>
    </row>
    <row r="38" ht="12.75" customHeight="1">
      <c r="A38" s="1"/>
      <c r="B38" s="1"/>
      <c r="C38" s="6"/>
      <c r="D38" s="48" t="s">
        <v>90</v>
      </c>
      <c r="E38" s="1"/>
      <c r="F38" s="47">
        <f>IF($F$37="onbev",0,($F$36+$F$37))</f>
        <v>7</v>
      </c>
      <c r="G38" s="3"/>
      <c r="H38" s="1"/>
      <c r="I38" s="47">
        <f>IF($I$37="onbev",0,($I$36+$I$37))</f>
        <v>0</v>
      </c>
      <c r="J38" s="3"/>
      <c r="K38" s="1"/>
    </row>
    <row r="39" ht="12.75" customHeight="1">
      <c r="A39" s="1"/>
      <c r="B39" s="1"/>
      <c r="C39" s="6"/>
      <c r="D39" s="48" t="s">
        <v>91</v>
      </c>
      <c r="E39" s="1"/>
      <c r="F39" s="49">
        <f>IF($C$21="III",IF($F$38&gt;10,10,$F$38),IF($F$38&gt;9,"10",$F$38))</f>
        <v>7</v>
      </c>
      <c r="G39" s="50"/>
      <c r="H39" s="1"/>
      <c r="I39" s="49">
        <f>IF($C$22="III",IF($I$38&gt;10,10,$I$38),IF($I$38&gt;9,"10",$I$38))</f>
        <v>0</v>
      </c>
      <c r="J39" s="50"/>
      <c r="K39" s="1"/>
    </row>
    <row r="40" ht="12.75" customHeight="1">
      <c r="A40" s="1"/>
      <c r="B40" s="4"/>
      <c r="C40" s="6"/>
      <c r="D40" s="51"/>
      <c r="E40" s="1"/>
      <c r="F40" s="6"/>
      <c r="G40" s="1"/>
      <c r="H40" s="1"/>
      <c r="I40" s="6"/>
      <c r="J40" s="1"/>
      <c r="K40" s="1"/>
    </row>
    <row r="41" ht="12.75" customHeight="1">
      <c r="A41" s="1"/>
      <c r="B41" s="1"/>
      <c r="C41" s="6"/>
      <c r="D41" s="51"/>
      <c r="E41" s="25" t="s">
        <v>178</v>
      </c>
      <c r="F41" s="47" t="str">
        <f>IF($C$26=$C$21,$C$21,IF($C$26&lt;$C$21,$C$21,IF(AND($C$26&gt;$C$21,$F$39&gt;2),IF($C$26="III",$C$21,$C$26),$C$21)))</f>
        <v>iii</v>
      </c>
      <c r="G41" s="3"/>
      <c r="H41" s="25"/>
      <c r="I41" s="47" t="str">
        <f>IF($C$27=$C$22,$C$22,IF($C$27&lt;$C$22,$C$22,IF(AND($C$27&gt;$C$22,$I$39&gt;2),IF($C$27="III",$C$22,$C$27),$C$22)))</f>
        <v>I</v>
      </c>
      <c r="J41" s="3"/>
      <c r="K41" s="1"/>
    </row>
    <row r="42" ht="12.75" customHeight="1">
      <c r="A42" s="1"/>
      <c r="B42" s="1"/>
      <c r="C42" s="6"/>
      <c r="D42" s="1"/>
      <c r="E42" s="48" t="s">
        <v>93</v>
      </c>
      <c r="F42" s="47">
        <f>IF($C$26=$C$21,$F$39,IF($C$26&lt;$C$21,$F$39,IF(AND($C$26&gt;$C$21,$F$39&gt;2),IF($C$26="III",0,$F$39),0)))</f>
        <v>7</v>
      </c>
      <c r="G42" s="3"/>
      <c r="H42" s="48"/>
      <c r="I42" s="47">
        <f>IF($C$27=$C$22,$I$39,IF($C$27&lt;$C$22,$I$39,IF(AND($C$27&gt;$C$22,$I$39&gt;2),IF($C$27="III",0,$I$39),0)))</f>
        <v>0</v>
      </c>
      <c r="J42" s="3"/>
      <c r="K42" s="1"/>
    </row>
    <row r="43" ht="12.75" hidden="1" customHeight="1">
      <c r="A43" s="1"/>
      <c r="B43" s="1"/>
      <c r="C43" s="1"/>
      <c r="D43" s="1"/>
      <c r="E43" s="48" t="s">
        <v>94</v>
      </c>
      <c r="F43" s="47" t="str">
        <f>CONCATENATE(F41,".",F42)</f>
        <v>iii.7</v>
      </c>
      <c r="G43" s="3"/>
      <c r="H43" s="48"/>
      <c r="I43" s="47" t="str">
        <f>CONCATENATE(I41,".",I42)</f>
        <v>I.0</v>
      </c>
      <c r="J43" s="3"/>
      <c r="K43" s="1"/>
    </row>
    <row r="44" ht="12.75" customHeight="1">
      <c r="A44" s="1"/>
      <c r="B44" s="1"/>
      <c r="C44" s="6"/>
      <c r="D44" s="51"/>
      <c r="E44" s="1"/>
      <c r="F44" s="6"/>
      <c r="G44" s="1"/>
      <c r="H44" s="1"/>
      <c r="I44" s="6"/>
      <c r="J44" s="1"/>
      <c r="K44" s="1"/>
    </row>
    <row r="45" ht="12.75" customHeight="1">
      <c r="A45" s="1"/>
      <c r="B45" s="1" t="s">
        <v>95</v>
      </c>
      <c r="C45" s="6"/>
      <c r="D45" s="51"/>
      <c r="E45" s="1"/>
      <c r="F45" s="52">
        <f>IF($F$32="nvt",0,VLOOKUP($F$43,Salaristabellen!A8:H46,8,FALSE))</f>
        <v>1.240539103</v>
      </c>
      <c r="G45" s="53"/>
      <c r="H45" s="1"/>
      <c r="I45" s="52">
        <f>IF(OR($F$32="nvt",$C$14="organist"),0,VLOOKUP($I$43,Salaristabellen!A8:H46,8,FALSE))</f>
        <v>1.948955769</v>
      </c>
      <c r="J45" s="53"/>
      <c r="K45" s="1"/>
    </row>
    <row r="46" ht="12.75" customHeight="1">
      <c r="A46" s="1"/>
      <c r="B46" s="1" t="s">
        <v>96</v>
      </c>
      <c r="C46" s="6"/>
      <c r="D46" s="51"/>
      <c r="E46" s="1"/>
      <c r="F46" s="54">
        <f>IF($F$32="nvt",0,VLOOKUP($F$43,Salaristabellen!A8:H46,2,FALSE)*12/(52*36))</f>
        <v>17.72198718</v>
      </c>
      <c r="G46" s="55"/>
      <c r="H46" s="1"/>
      <c r="I46" s="54">
        <f>IF(OR($F$32="nvt",$C$14="organist"),0,VLOOKUP($I$43,Salaristabellen!A8:H46,2,FALSE)*12/(52*36))</f>
        <v>21.6550641</v>
      </c>
      <c r="J46" s="55"/>
      <c r="K46" s="1"/>
    </row>
    <row r="47" ht="12.75" customHeight="1">
      <c r="A47" s="1"/>
      <c r="B47" s="1"/>
      <c r="C47" s="6"/>
      <c r="D47" s="51"/>
      <c r="E47" s="1"/>
      <c r="F47" s="1" t="str">
        <f>Salaristabellen!$G$1</f>
        <v>(salarisschalen per 1 januari 2024)</v>
      </c>
      <c r="G47" s="1"/>
      <c r="H47" s="1"/>
      <c r="I47" s="51"/>
      <c r="J47" s="8"/>
      <c r="K47" s="1"/>
    </row>
    <row r="48" ht="12.75" customHeight="1">
      <c r="A48" s="1"/>
      <c r="B48" s="1"/>
      <c r="C48" s="6"/>
      <c r="D48" s="51"/>
      <c r="E48" s="1"/>
      <c r="F48" s="1"/>
      <c r="G48" s="1"/>
      <c r="H48" s="1"/>
      <c r="I48" s="51"/>
      <c r="J48" s="8"/>
      <c r="K48" s="1"/>
    </row>
    <row r="49" ht="12.75" customHeight="1">
      <c r="A49" s="1" t="s">
        <v>97</v>
      </c>
      <c r="B49" s="4" t="s">
        <v>98</v>
      </c>
      <c r="C49" s="1"/>
      <c r="D49" s="1"/>
      <c r="E49" s="1"/>
      <c r="F49" s="1"/>
      <c r="G49" s="1"/>
      <c r="H49" s="1"/>
      <c r="I49" s="1"/>
      <c r="J49" s="1"/>
      <c r="K49" s="1"/>
    </row>
    <row r="50" ht="12.75" customHeight="1">
      <c r="A50" s="1"/>
      <c r="B50" s="1"/>
      <c r="C50" s="1"/>
      <c r="D50" s="8"/>
      <c r="E50" s="1"/>
      <c r="F50" s="1"/>
      <c r="G50" s="1"/>
      <c r="H50" s="1"/>
      <c r="I50" s="1"/>
      <c r="J50" s="1"/>
      <c r="K50" s="1"/>
    </row>
    <row r="51" ht="12.75" customHeight="1">
      <c r="A51" s="1"/>
      <c r="B51" s="56" t="s">
        <v>99</v>
      </c>
      <c r="C51" s="57" t="str">
        <f>C14</f>
        <v>cantor-organist</v>
      </c>
      <c r="D51" s="58"/>
      <c r="E51" s="59" t="s">
        <v>100</v>
      </c>
      <c r="F51" s="60" t="s">
        <v>101</v>
      </c>
      <c r="G51" s="61" t="s">
        <v>102</v>
      </c>
      <c r="H51" s="62"/>
      <c r="I51" s="49" t="s">
        <v>103</v>
      </c>
      <c r="J51" s="50"/>
      <c r="K51" s="1"/>
    </row>
    <row r="52" ht="12.75" customHeight="1">
      <c r="A52" s="1"/>
      <c r="B52" s="63" t="s">
        <v>104</v>
      </c>
      <c r="C52" s="64"/>
      <c r="D52" s="65"/>
      <c r="E52" s="8"/>
      <c r="F52" s="66"/>
      <c r="G52" s="67" t="s">
        <v>105</v>
      </c>
      <c r="H52" s="68" t="s">
        <v>106</v>
      </c>
      <c r="I52" s="69"/>
      <c r="J52" s="70"/>
      <c r="K52" s="1"/>
    </row>
    <row r="53" ht="12.75" customHeight="1">
      <c r="A53" s="1"/>
      <c r="B53" s="71" t="s">
        <v>179</v>
      </c>
      <c r="C53" s="72"/>
      <c r="D53" s="73"/>
      <c r="E53" s="8"/>
      <c r="F53" s="74">
        <f>Verdeling!$F$30</f>
        <v>60</v>
      </c>
      <c r="G53" s="8"/>
      <c r="H53" s="68"/>
      <c r="I53" s="8"/>
      <c r="J53" s="75"/>
      <c r="K53" s="1"/>
    </row>
    <row r="54" ht="12.75" customHeight="1">
      <c r="A54" s="1"/>
      <c r="B54" s="71" t="s">
        <v>108</v>
      </c>
      <c r="C54" s="21" t="str">
        <f>C5</f>
        <v/>
      </c>
      <c r="D54" s="76"/>
      <c r="E54" s="8">
        <v>30.0</v>
      </c>
      <c r="F54" s="77">
        <f>Verdeling!$M$42</f>
        <v>0</v>
      </c>
      <c r="G54" s="78">
        <f>F54*E54/52</f>
        <v>0</v>
      </c>
      <c r="H54" s="74"/>
      <c r="I54" s="47"/>
      <c r="J54" s="76"/>
      <c r="K54" s="1"/>
    </row>
    <row r="55" ht="12.75" customHeight="1">
      <c r="A55" s="1"/>
      <c r="B55" s="71" t="s">
        <v>180</v>
      </c>
      <c r="C55" s="1"/>
      <c r="D55" s="75"/>
      <c r="E55" s="8">
        <v>5.0</v>
      </c>
      <c r="F55" s="79">
        <v>0.0</v>
      </c>
      <c r="G55" s="78">
        <f>IF(AND($I$17=1,F53&gt;52),F55,F55*F54/52)</f>
        <v>0</v>
      </c>
      <c r="H55" s="77"/>
      <c r="I55" s="47"/>
      <c r="J55" s="76"/>
      <c r="K55" s="1"/>
    </row>
    <row r="56" ht="12.75" customHeight="1">
      <c r="A56" s="1"/>
      <c r="B56" s="71" t="s">
        <v>181</v>
      </c>
      <c r="C56" s="1"/>
      <c r="D56" s="75"/>
      <c r="E56" s="8" t="s">
        <v>111</v>
      </c>
      <c r="F56" s="79">
        <v>0.0</v>
      </c>
      <c r="G56" s="78">
        <f>IF(AND($I$17=1,F53&gt;52),F56,F56*F54/52)</f>
        <v>0</v>
      </c>
      <c r="H56" s="74"/>
      <c r="I56" s="47"/>
      <c r="J56" s="76"/>
      <c r="K56" s="1"/>
    </row>
    <row r="57" ht="12.75" customHeight="1">
      <c r="A57" s="1"/>
      <c r="B57" s="71" t="s">
        <v>182</v>
      </c>
      <c r="C57" s="1"/>
      <c r="D57" s="75"/>
      <c r="E57" s="8">
        <v>30.0</v>
      </c>
      <c r="F57" s="79">
        <v>0.0</v>
      </c>
      <c r="G57" s="78"/>
      <c r="H57" s="77">
        <f>IF(C14="organist",0,F57*E57/52)</f>
        <v>0</v>
      </c>
      <c r="I57" s="47"/>
      <c r="J57" s="76"/>
      <c r="K57" s="1"/>
    </row>
    <row r="58" ht="12.75" customHeight="1">
      <c r="A58" s="1"/>
      <c r="B58" s="71" t="s">
        <v>183</v>
      </c>
      <c r="C58" s="1"/>
      <c r="D58" s="75"/>
      <c r="E58" s="8">
        <v>185.0</v>
      </c>
      <c r="F58" s="79">
        <v>0.0</v>
      </c>
      <c r="G58" s="78">
        <f t="shared" ref="G58:G59" si="2">F58*E58/52</f>
        <v>0</v>
      </c>
      <c r="H58" s="80"/>
      <c r="I58" s="6"/>
      <c r="J58" s="75"/>
      <c r="K58" s="1"/>
    </row>
    <row r="59" ht="12.75" customHeight="1">
      <c r="A59" s="1"/>
      <c r="B59" s="71" t="s">
        <v>184</v>
      </c>
      <c r="C59" s="1"/>
      <c r="D59" s="75"/>
      <c r="E59" s="8">
        <v>40.0</v>
      </c>
      <c r="F59" s="79">
        <v>0.0</v>
      </c>
      <c r="G59" s="78">
        <f t="shared" si="2"/>
        <v>0</v>
      </c>
      <c r="H59" s="74"/>
      <c r="I59" s="6"/>
      <c r="J59" s="75"/>
      <c r="K59" s="1"/>
    </row>
    <row r="60" ht="12.75" customHeight="1">
      <c r="A60" s="1"/>
      <c r="B60" s="71" t="s">
        <v>185</v>
      </c>
      <c r="C60" s="1"/>
      <c r="D60" s="75"/>
      <c r="E60" s="8"/>
      <c r="F60" s="77"/>
      <c r="G60" s="78"/>
      <c r="H60" s="74"/>
      <c r="I60" s="47"/>
      <c r="J60" s="76"/>
      <c r="K60" s="1"/>
    </row>
    <row r="61" ht="12.75" customHeight="1">
      <c r="A61" s="1"/>
      <c r="B61" s="81" t="s">
        <v>116</v>
      </c>
      <c r="C61" s="3"/>
      <c r="D61" s="76"/>
      <c r="E61" s="1"/>
      <c r="F61" s="79"/>
      <c r="G61" s="82"/>
      <c r="H61" s="83"/>
      <c r="I61" s="84" t="str">
        <f t="shared" ref="I61:I63" si="3">F61</f>
        <v/>
      </c>
      <c r="J61" s="76"/>
      <c r="K61" s="1"/>
    </row>
    <row r="62" ht="12.75" customHeight="1">
      <c r="A62" s="1"/>
      <c r="B62" s="81" t="s">
        <v>116</v>
      </c>
      <c r="C62" s="3"/>
      <c r="D62" s="76"/>
      <c r="E62" s="8"/>
      <c r="F62" s="79"/>
      <c r="G62" s="78"/>
      <c r="H62" s="74"/>
      <c r="I62" s="84" t="str">
        <f t="shared" si="3"/>
        <v/>
      </c>
      <c r="J62" s="76"/>
      <c r="K62" s="1"/>
    </row>
    <row r="63" ht="12.75" customHeight="1">
      <c r="A63" s="1"/>
      <c r="B63" s="81" t="s">
        <v>116</v>
      </c>
      <c r="C63" s="3"/>
      <c r="D63" s="76"/>
      <c r="E63" s="8"/>
      <c r="F63" s="79"/>
      <c r="G63" s="78"/>
      <c r="H63" s="74"/>
      <c r="I63" s="84" t="str">
        <f t="shared" si="3"/>
        <v/>
      </c>
      <c r="J63" s="76"/>
      <c r="K63" s="1"/>
    </row>
    <row r="64" ht="12.75" customHeight="1">
      <c r="A64" s="1"/>
      <c r="B64" s="81" t="s">
        <v>116</v>
      </c>
      <c r="C64" s="3"/>
      <c r="D64" s="76"/>
      <c r="E64" s="8"/>
      <c r="F64" s="79"/>
      <c r="G64" s="78"/>
      <c r="H64" s="74"/>
      <c r="I64" s="78"/>
      <c r="J64" s="85"/>
      <c r="K64" s="1"/>
    </row>
    <row r="65" ht="12.75" customHeight="1">
      <c r="A65" s="1"/>
      <c r="B65" s="86" t="s">
        <v>186</v>
      </c>
      <c r="C65" s="3"/>
      <c r="D65" s="76"/>
      <c r="E65" s="8"/>
      <c r="F65" s="77"/>
      <c r="G65" s="78"/>
      <c r="H65" s="74"/>
      <c r="I65" s="78"/>
      <c r="J65" s="85"/>
      <c r="K65" s="1"/>
    </row>
    <row r="66" ht="12.75" customHeight="1">
      <c r="A66" s="1"/>
      <c r="B66" s="81" t="s">
        <v>149</v>
      </c>
      <c r="C66" s="3"/>
      <c r="D66" s="76"/>
      <c r="E66" s="8"/>
      <c r="F66" s="79">
        <v>0.0</v>
      </c>
      <c r="G66" s="78"/>
      <c r="H66" s="74"/>
      <c r="I66" s="84">
        <f t="shared" ref="I66:I68" si="4">F66/52</f>
        <v>0</v>
      </c>
      <c r="J66" s="76"/>
      <c r="K66" s="1"/>
    </row>
    <row r="67" ht="12.75" customHeight="1">
      <c r="A67" s="1"/>
      <c r="B67" s="81" t="s">
        <v>149</v>
      </c>
      <c r="C67" s="3"/>
      <c r="D67" s="76"/>
      <c r="E67" s="8"/>
      <c r="F67" s="79"/>
      <c r="G67" s="78"/>
      <c r="H67" s="74"/>
      <c r="I67" s="84">
        <f t="shared" si="4"/>
        <v>0</v>
      </c>
      <c r="J67" s="76"/>
      <c r="K67" s="1"/>
    </row>
    <row r="68" ht="12.75" customHeight="1">
      <c r="A68" s="1"/>
      <c r="B68" s="87" t="s">
        <v>149</v>
      </c>
      <c r="C68" s="88"/>
      <c r="D68" s="55"/>
      <c r="E68" s="18"/>
      <c r="F68" s="89"/>
      <c r="G68" s="78"/>
      <c r="H68" s="90"/>
      <c r="I68" s="91">
        <f t="shared" si="4"/>
        <v>0</v>
      </c>
      <c r="J68" s="55"/>
      <c r="K68" s="1"/>
    </row>
    <row r="69" ht="12.75" customHeight="1">
      <c r="A69" s="1"/>
      <c r="B69" s="92" t="s">
        <v>118</v>
      </c>
      <c r="C69" s="18"/>
      <c r="D69" s="18"/>
      <c r="E69" s="18"/>
      <c r="F69" s="93"/>
      <c r="G69" s="94">
        <f t="shared" ref="G69:I69" si="5">SUM(G54:G68)</f>
        <v>0</v>
      </c>
      <c r="H69" s="95">
        <f t="shared" si="5"/>
        <v>0</v>
      </c>
      <c r="I69" s="96">
        <f t="shared" si="5"/>
        <v>0</v>
      </c>
      <c r="J69" s="50"/>
      <c r="K69" s="1"/>
    </row>
    <row r="70" ht="12.75" customHeight="1">
      <c r="A70" s="1"/>
      <c r="B70" s="1"/>
      <c r="C70" s="1"/>
      <c r="D70" s="1"/>
      <c r="E70" s="1"/>
      <c r="F70" s="1"/>
      <c r="G70" s="78"/>
      <c r="H70" s="78"/>
      <c r="I70" s="78"/>
      <c r="J70" s="82"/>
      <c r="K70" s="1"/>
    </row>
    <row r="71" ht="12.75" customHeight="1">
      <c r="A71" s="1"/>
      <c r="B71" s="1"/>
      <c r="C71" s="1"/>
      <c r="D71" s="1"/>
      <c r="E71" s="1"/>
      <c r="F71" s="1"/>
      <c r="G71" s="97" t="s">
        <v>119</v>
      </c>
      <c r="H71" s="97" t="s">
        <v>120</v>
      </c>
      <c r="I71" s="98" t="s">
        <v>121</v>
      </c>
      <c r="J71" s="50"/>
      <c r="K71" s="1"/>
    </row>
    <row r="72" ht="12.75" customHeight="1">
      <c r="A72" s="1"/>
      <c r="B72" s="56" t="s">
        <v>187</v>
      </c>
      <c r="C72" s="99"/>
      <c r="D72" s="99"/>
      <c r="E72" s="99"/>
      <c r="F72" s="99"/>
      <c r="G72" s="100">
        <f>IF($F$41="III",0.07*$G$69,0.09*$G$69)</f>
        <v>0</v>
      </c>
      <c r="H72" s="100">
        <f>IF($I$41="III",0.07*$H$69,0.09*$H$69)</f>
        <v>0</v>
      </c>
      <c r="I72" s="101">
        <f>$I$69</f>
        <v>0</v>
      </c>
      <c r="J72" s="50"/>
      <c r="K72" s="1"/>
    </row>
    <row r="73" ht="12.75" customHeight="1">
      <c r="A73" s="1"/>
      <c r="B73" s="56" t="s">
        <v>123</v>
      </c>
      <c r="C73" s="99"/>
      <c r="D73" s="99"/>
      <c r="E73" s="99"/>
      <c r="F73" s="99"/>
      <c r="G73" s="102">
        <f>$G$72+$H$72+$I$72</f>
        <v>0</v>
      </c>
      <c r="H73" s="103"/>
      <c r="I73" s="103"/>
      <c r="J73" s="50"/>
      <c r="K73" s="1"/>
    </row>
    <row r="74" ht="12.75" customHeight="1">
      <c r="A74" s="1"/>
      <c r="B74" s="1"/>
      <c r="C74" s="1"/>
      <c r="D74" s="1"/>
      <c r="E74" s="1"/>
      <c r="F74" s="1"/>
      <c r="G74" s="78"/>
      <c r="H74" s="6"/>
      <c r="I74" s="6"/>
      <c r="J74" s="6"/>
      <c r="K74" s="1"/>
    </row>
    <row r="75" ht="12.75" customHeight="1">
      <c r="A75" s="1" t="s">
        <v>124</v>
      </c>
      <c r="B75" s="4" t="s">
        <v>125</v>
      </c>
      <c r="C75" s="1"/>
      <c r="D75" s="1"/>
      <c r="E75" s="1"/>
      <c r="F75" s="1"/>
      <c r="G75" s="1"/>
      <c r="H75" s="1"/>
      <c r="I75" s="1"/>
      <c r="J75" s="1"/>
      <c r="K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2.75" customHeight="1">
      <c r="A77" s="1"/>
      <c r="B77" s="1" t="s">
        <v>126</v>
      </c>
      <c r="C77" s="104" t="str">
        <f>C5</f>
        <v/>
      </c>
      <c r="D77" s="3"/>
      <c r="E77" s="1" t="s">
        <v>127</v>
      </c>
      <c r="F77" s="1"/>
      <c r="G77" s="1"/>
      <c r="H77" s="1"/>
      <c r="I77" s="1"/>
      <c r="J77" s="1"/>
      <c r="K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2.75" customHeight="1">
      <c r="A80" s="1"/>
      <c r="B80" s="1" t="s">
        <v>128</v>
      </c>
      <c r="C80" s="82">
        <f>$G$69</f>
        <v>0</v>
      </c>
      <c r="D80" s="8" t="s">
        <v>129</v>
      </c>
      <c r="E80" s="105">
        <f>$F$45</f>
        <v>1.240539103</v>
      </c>
      <c r="F80" s="3"/>
      <c r="G80" s="1"/>
      <c r="H80" s="106" t="s">
        <v>130</v>
      </c>
      <c r="I80" s="107">
        <f t="shared" ref="I80:I82" si="6">C80*E80</f>
        <v>0</v>
      </c>
      <c r="J80" s="3"/>
      <c r="K80" s="1"/>
    </row>
    <row r="81" ht="12.75" customHeight="1">
      <c r="A81" s="1"/>
      <c r="B81" s="1" t="s">
        <v>131</v>
      </c>
      <c r="C81" s="82">
        <f>$H$69</f>
        <v>0</v>
      </c>
      <c r="D81" s="8" t="s">
        <v>129</v>
      </c>
      <c r="E81" s="108">
        <f>$I$45</f>
        <v>1.948955769</v>
      </c>
      <c r="F81" s="3"/>
      <c r="G81" s="1"/>
      <c r="H81" s="106" t="s">
        <v>130</v>
      </c>
      <c r="I81" s="107">
        <f t="shared" si="6"/>
        <v>0</v>
      </c>
      <c r="J81" s="3"/>
      <c r="K81" s="1"/>
    </row>
    <row r="82" ht="12.75" customHeight="1">
      <c r="A82" s="1"/>
      <c r="B82" s="1" t="s">
        <v>132</v>
      </c>
      <c r="C82" s="82">
        <f>$I$69</f>
        <v>0</v>
      </c>
      <c r="D82" s="8" t="s">
        <v>129</v>
      </c>
      <c r="E82" s="108">
        <f>IF($I$69=0,0,$F$46)</f>
        <v>0</v>
      </c>
      <c r="F82" s="3"/>
      <c r="G82" s="1"/>
      <c r="H82" s="106" t="s">
        <v>130</v>
      </c>
      <c r="I82" s="107">
        <f t="shared" si="6"/>
        <v>0</v>
      </c>
      <c r="J82" s="3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25" t="s">
        <v>133</v>
      </c>
      <c r="I83" s="107">
        <f>SUM(I80:I82)</f>
        <v>0</v>
      </c>
      <c r="J83" s="3"/>
      <c r="K83" s="1"/>
    </row>
    <row r="84" ht="12.75" customHeight="1">
      <c r="A84" s="1"/>
      <c r="B84" s="1"/>
      <c r="C84" s="6"/>
      <c r="D84" s="1"/>
      <c r="E84" s="1"/>
      <c r="F84" s="1"/>
      <c r="G84" s="1"/>
      <c r="H84" s="109"/>
      <c r="I84" s="3"/>
      <c r="J84" s="109"/>
      <c r="K84" s="3"/>
    </row>
    <row r="85" ht="12.75" customHeight="1">
      <c r="A85" s="1"/>
      <c r="B85" s="1"/>
      <c r="C85" s="1"/>
      <c r="D85" s="1"/>
      <c r="E85" s="1"/>
      <c r="F85" s="1"/>
      <c r="G85" s="25"/>
      <c r="H85" s="107"/>
      <c r="I85" s="3"/>
      <c r="J85" s="107"/>
      <c r="K85" s="3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2.75" customHeight="1">
      <c r="A87" s="1"/>
      <c r="B87" s="1"/>
      <c r="C87" s="110" t="s">
        <v>134</v>
      </c>
      <c r="D87" s="111" t="s">
        <v>135</v>
      </c>
      <c r="E87" s="112" t="s">
        <v>136</v>
      </c>
      <c r="F87" s="53"/>
      <c r="G87" s="47"/>
      <c r="H87" s="3"/>
      <c r="I87" s="4"/>
      <c r="J87" s="1"/>
      <c r="K87" s="1"/>
    </row>
    <row r="88" ht="12.75" customHeight="1">
      <c r="A88" s="1"/>
      <c r="B88" s="1"/>
      <c r="C88" s="113">
        <f>$I$83*52/12</f>
        <v>0</v>
      </c>
      <c r="D88" s="114">
        <f>$C$88*12</f>
        <v>0</v>
      </c>
      <c r="E88" s="115">
        <f>$G$73/36</f>
        <v>0</v>
      </c>
      <c r="F88" s="55"/>
      <c r="G88" s="116"/>
      <c r="H88" s="3"/>
      <c r="I88" s="1"/>
      <c r="J88" s="1"/>
      <c r="K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05"/>
      <c r="K89" s="3"/>
    </row>
    <row r="90" ht="12.75" customHeight="1">
      <c r="A90" s="1"/>
      <c r="B90" s="27" t="str">
        <f>IF($F$54=0,"Geen diensten toegewezen",IF(Verdeling!$M$46=Verdeling!$F$30,"","Diensten niet juist verdeeld. Zie blad 'Verdeling'"))</f>
        <v>Geen diensten toegewezen</v>
      </c>
      <c r="C90" s="1"/>
      <c r="D90" s="1"/>
      <c r="E90" s="1"/>
      <c r="F90" s="117" t="str">
        <f>IF(OR(Cantor!$F$53&gt;4,('KM1'!$F$55+'KM2'!$F$55+'KM3'!$F$55+'KM4'!$F$55+'KM5'!$F$55)&gt;4),"","vorming is onjuist ingevuld")</f>
        <v/>
      </c>
      <c r="G90" s="1"/>
      <c r="H90" s="1"/>
      <c r="I90" s="1"/>
      <c r="J90" s="1"/>
      <c r="K90" s="1"/>
    </row>
    <row r="91" ht="12.75" customHeight="1">
      <c r="A91" s="1"/>
      <c r="B91" s="117"/>
      <c r="C91" s="1"/>
      <c r="D91" s="1"/>
      <c r="E91" s="1"/>
      <c r="F91" s="1"/>
      <c r="G91" s="82"/>
      <c r="H91" s="1"/>
      <c r="I91" s="1"/>
      <c r="J91" s="1"/>
      <c r="K91" s="1"/>
    </row>
    <row r="92" ht="15.75" customHeight="1">
      <c r="A92" s="1"/>
      <c r="B92" s="117" t="str">
        <f>IF(('KM1'!$F$56+'KM2'!$F$56+'KM3'!$F$56+'KM4'!$F$56+'KM5'!$F$56)&gt;4,"","klein onderhoud is onjuist ingevuld")</f>
        <v/>
      </c>
      <c r="C92" s="1"/>
      <c r="D92" s="1"/>
      <c r="E92" s="1"/>
      <c r="F92" s="120"/>
      <c r="G92" s="1"/>
      <c r="H92" s="1"/>
      <c r="I92" s="1"/>
      <c r="J92" s="1"/>
      <c r="K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0">
    <mergeCell ref="B65:D65"/>
    <mergeCell ref="B66:D66"/>
    <mergeCell ref="B67:D67"/>
    <mergeCell ref="B68:D68"/>
    <mergeCell ref="F45:G45"/>
    <mergeCell ref="F46:G46"/>
    <mergeCell ref="C54:D54"/>
    <mergeCell ref="B61:D61"/>
    <mergeCell ref="B62:D62"/>
    <mergeCell ref="B63:D63"/>
    <mergeCell ref="B64:D64"/>
    <mergeCell ref="E81:F81"/>
    <mergeCell ref="E82:F82"/>
    <mergeCell ref="E87:F87"/>
    <mergeCell ref="E88:F88"/>
    <mergeCell ref="I71:J71"/>
    <mergeCell ref="I72:J72"/>
    <mergeCell ref="G73:J73"/>
    <mergeCell ref="C77:D77"/>
    <mergeCell ref="E80:F80"/>
    <mergeCell ref="I80:J80"/>
    <mergeCell ref="I81:J81"/>
    <mergeCell ref="G88:H88"/>
    <mergeCell ref="J89:K89"/>
    <mergeCell ref="I82:J82"/>
    <mergeCell ref="I83:J83"/>
    <mergeCell ref="H84:I84"/>
    <mergeCell ref="J84:K84"/>
    <mergeCell ref="H85:I85"/>
    <mergeCell ref="J85:K85"/>
    <mergeCell ref="G87:H87"/>
    <mergeCell ref="A2:I2"/>
    <mergeCell ref="I3:J3"/>
    <mergeCell ref="C5:D5"/>
    <mergeCell ref="I5:J5"/>
    <mergeCell ref="C8:D8"/>
    <mergeCell ref="C9:D9"/>
    <mergeCell ref="C11:D11"/>
    <mergeCell ref="C12:D12"/>
    <mergeCell ref="C14:D14"/>
    <mergeCell ref="I14:K14"/>
    <mergeCell ref="I15:K15"/>
    <mergeCell ref="H21:J21"/>
    <mergeCell ref="H22:J22"/>
    <mergeCell ref="I26:J26"/>
    <mergeCell ref="F26:H26"/>
    <mergeCell ref="F27:H27"/>
    <mergeCell ref="I27:J27"/>
    <mergeCell ref="F32:G32"/>
    <mergeCell ref="F35:G35"/>
    <mergeCell ref="I35:J35"/>
    <mergeCell ref="I36:J36"/>
    <mergeCell ref="F36:G36"/>
    <mergeCell ref="F37:G37"/>
    <mergeCell ref="F38:G38"/>
    <mergeCell ref="F39:G39"/>
    <mergeCell ref="F41:G41"/>
    <mergeCell ref="F42:G42"/>
    <mergeCell ref="F43:G43"/>
    <mergeCell ref="I37:J37"/>
    <mergeCell ref="I38:J38"/>
    <mergeCell ref="I39:J39"/>
    <mergeCell ref="I41:J41"/>
    <mergeCell ref="I42:J42"/>
    <mergeCell ref="I43:J43"/>
    <mergeCell ref="I45:J45"/>
    <mergeCell ref="I46:J46"/>
    <mergeCell ref="I51:J51"/>
    <mergeCell ref="I54:J54"/>
    <mergeCell ref="I55:J55"/>
    <mergeCell ref="I56:J56"/>
    <mergeCell ref="I57:J57"/>
    <mergeCell ref="I60:J60"/>
    <mergeCell ref="I61:J61"/>
    <mergeCell ref="I62:J62"/>
    <mergeCell ref="I63:J63"/>
    <mergeCell ref="I66:J66"/>
    <mergeCell ref="I67:J67"/>
    <mergeCell ref="I68:J68"/>
    <mergeCell ref="I69:J69"/>
  </mergeCells>
  <printOptions/>
  <pageMargins bottom="0.75" footer="0.0" header="0.0" left="0.7" right="0.7" top="0.75"/>
  <pageSetup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75"/>
    <col customWidth="1" min="2" max="2" width="24.38"/>
    <col customWidth="1" min="3" max="3" width="18.88"/>
    <col customWidth="1" min="4" max="4" width="17.0"/>
    <col customWidth="1" min="5" max="5" width="10.88"/>
    <col customWidth="1" min="6" max="6" width="9.13"/>
    <col customWidth="1" min="7" max="7" width="9.25"/>
    <col customWidth="1" min="8" max="9" width="9.13"/>
    <col customWidth="1" min="10" max="10" width="10.25"/>
    <col customWidth="1" min="11" max="11" width="9.13"/>
    <col customWidth="1" min="12" max="26" width="14.38"/>
  </cols>
  <sheetData>
    <row r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2.75" customHeight="1">
      <c r="A2" s="2" t="s">
        <v>188</v>
      </c>
      <c r="B2" s="3"/>
      <c r="C2" s="3"/>
      <c r="D2" s="3"/>
      <c r="E2" s="3"/>
      <c r="F2" s="3"/>
      <c r="G2" s="3"/>
      <c r="H2" s="3"/>
      <c r="I2" s="3"/>
      <c r="J2" s="32"/>
      <c r="K2" s="32"/>
    </row>
    <row r="3" ht="12.75" customHeight="1">
      <c r="A3" s="1"/>
      <c r="B3" s="1"/>
      <c r="C3" s="1"/>
      <c r="D3" s="1"/>
      <c r="E3" s="1" t="s">
        <v>45</v>
      </c>
      <c r="F3" s="1"/>
      <c r="G3" s="1"/>
      <c r="H3" s="1"/>
      <c r="I3" s="33">
        <v>39504.0</v>
      </c>
      <c r="J3" s="3"/>
      <c r="K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34"/>
      <c r="K4" s="1"/>
    </row>
    <row r="5" ht="12.75" customHeight="1">
      <c r="A5" s="1" t="s">
        <v>46</v>
      </c>
      <c r="B5" s="1" t="s">
        <v>47</v>
      </c>
      <c r="C5" s="35" t="s">
        <v>189</v>
      </c>
      <c r="D5" s="3"/>
      <c r="E5" s="1"/>
      <c r="F5" s="1"/>
      <c r="G5" s="25" t="s">
        <v>49</v>
      </c>
      <c r="H5" s="1"/>
      <c r="I5" s="33">
        <v>16803.0</v>
      </c>
      <c r="J5" s="3"/>
      <c r="K5" s="1"/>
    </row>
    <row r="6" ht="12.75" customHeight="1">
      <c r="A6" s="1"/>
      <c r="B6" s="1" t="s">
        <v>50</v>
      </c>
      <c r="C6" s="36"/>
      <c r="D6" s="11"/>
      <c r="E6" s="1"/>
      <c r="F6" s="1"/>
      <c r="G6" s="25" t="s">
        <v>51</v>
      </c>
      <c r="H6" s="37">
        <f>IF(DATE(YEAR($I$3),MONTH(I5),DAY(I5))&lt;=$I$3,YEAR($I$3)-YEAR(I5),YEAR($I$3)-YEAR(I5)-1)</f>
        <v>62</v>
      </c>
      <c r="I6" s="1"/>
      <c r="J6" s="1"/>
      <c r="K6" s="1"/>
    </row>
    <row r="7" ht="12.75" customHeight="1">
      <c r="A7" s="1"/>
      <c r="B7" s="1"/>
      <c r="C7" s="4"/>
      <c r="D7" s="1"/>
      <c r="E7" s="1"/>
      <c r="F7" s="1"/>
      <c r="G7" s="1"/>
      <c r="H7" s="1"/>
      <c r="I7" s="1"/>
      <c r="J7" s="1"/>
      <c r="K7" s="1"/>
    </row>
    <row r="8" ht="12.75" customHeight="1">
      <c r="A8" s="1"/>
      <c r="B8" s="1" t="s">
        <v>52</v>
      </c>
      <c r="C8" s="35"/>
      <c r="D8" s="3"/>
      <c r="E8" s="1"/>
      <c r="F8" s="1"/>
      <c r="G8" s="1"/>
      <c r="H8" s="1"/>
      <c r="I8" s="1"/>
      <c r="J8" s="1"/>
      <c r="K8" s="1"/>
    </row>
    <row r="9" ht="12.75" customHeight="1">
      <c r="A9" s="1"/>
      <c r="B9" s="1" t="s">
        <v>54</v>
      </c>
      <c r="C9" s="35"/>
      <c r="D9" s="3"/>
      <c r="E9" s="1"/>
      <c r="F9" s="1"/>
      <c r="G9" s="1"/>
      <c r="H9" s="1"/>
      <c r="I9" s="1"/>
      <c r="J9" s="1"/>
      <c r="K9" s="1"/>
    </row>
    <row r="10" ht="12.75" customHeight="1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</row>
    <row r="11" ht="12.75" customHeight="1">
      <c r="A11" s="1"/>
      <c r="B11" s="1" t="s">
        <v>56</v>
      </c>
      <c r="C11" s="35"/>
      <c r="D11" s="3"/>
      <c r="E11" s="1"/>
      <c r="F11" s="1"/>
      <c r="G11" s="1"/>
      <c r="H11" s="1"/>
      <c r="I11" s="1"/>
      <c r="J11" s="1"/>
      <c r="K11" s="1"/>
    </row>
    <row r="12" ht="12.75" customHeight="1">
      <c r="A12" s="1"/>
      <c r="B12" s="1" t="s">
        <v>58</v>
      </c>
      <c r="C12" s="118"/>
      <c r="D12" s="3"/>
      <c r="E12" s="1"/>
      <c r="F12" s="28"/>
      <c r="G12" s="1"/>
      <c r="H12" s="1"/>
      <c r="I12" s="1"/>
      <c r="J12" s="1"/>
      <c r="K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ht="12.75" customHeight="1">
      <c r="A14" s="1"/>
      <c r="B14" s="1" t="s">
        <v>60</v>
      </c>
      <c r="C14" s="121" t="s">
        <v>106</v>
      </c>
      <c r="D14" s="3"/>
      <c r="E14" s="1" t="s">
        <v>62</v>
      </c>
      <c r="F14" s="1"/>
      <c r="G14" s="1"/>
      <c r="H14" s="1"/>
      <c r="I14" s="29" t="str">
        <f>'KM1'!I14</f>
        <v>Voorbeeld</v>
      </c>
      <c r="J14" s="3"/>
      <c r="K14" s="3"/>
    </row>
    <row r="15" ht="12.75" customHeight="1">
      <c r="A15" s="1"/>
      <c r="B15" s="1"/>
      <c r="C15" s="1"/>
      <c r="D15" s="1"/>
      <c r="E15" s="1"/>
      <c r="F15" s="1"/>
      <c r="G15" s="8" t="s">
        <v>64</v>
      </c>
      <c r="H15" s="1"/>
      <c r="I15" s="29" t="str">
        <f>'KM1'!I15</f>
        <v>Grote Kerk</v>
      </c>
      <c r="J15" s="3"/>
      <c r="K15" s="3"/>
    </row>
    <row r="16" ht="12.75" customHeight="1">
      <c r="A16" s="1"/>
      <c r="B16" s="1"/>
      <c r="C16" s="1"/>
      <c r="D16" s="25"/>
      <c r="E16" s="1"/>
      <c r="F16" s="4"/>
      <c r="G16" s="1"/>
      <c r="H16" s="1"/>
      <c r="I16" s="1"/>
      <c r="J16" s="1"/>
      <c r="K16" s="1"/>
    </row>
    <row r="17" ht="12.75" customHeight="1">
      <c r="A17" s="1"/>
      <c r="B17" s="1"/>
      <c r="C17" s="5"/>
      <c r="D17" s="25"/>
      <c r="E17" s="1"/>
      <c r="F17" s="4"/>
      <c r="G17" s="1"/>
      <c r="H17" s="1"/>
      <c r="I17" s="6"/>
      <c r="J17" s="1"/>
      <c r="K17" s="1"/>
    </row>
    <row r="18" ht="12.75" customHeight="1">
      <c r="A18" s="1"/>
      <c r="B18" s="1"/>
      <c r="C18" s="1"/>
      <c r="D18" s="25"/>
      <c r="E18" s="1"/>
      <c r="F18" s="4"/>
      <c r="G18" s="25"/>
      <c r="H18" s="1"/>
      <c r="I18" s="37"/>
      <c r="J18" s="1"/>
      <c r="K18" s="1"/>
    </row>
    <row r="19" ht="12.75" customHeight="1">
      <c r="A19" s="1" t="s">
        <v>1</v>
      </c>
      <c r="B19" s="4" t="s">
        <v>69</v>
      </c>
      <c r="C19" s="1"/>
      <c r="D19" s="1"/>
      <c r="E19" s="1"/>
      <c r="F19" s="1"/>
      <c r="G19" s="1"/>
      <c r="H19" s="1"/>
      <c r="I19" s="1"/>
      <c r="J19" s="1"/>
      <c r="K19" s="1"/>
    </row>
    <row r="20" ht="12.75" customHeight="1">
      <c r="A20" s="1"/>
      <c r="B20" s="1" t="s">
        <v>70</v>
      </c>
      <c r="C20" s="1"/>
      <c r="D20" s="1"/>
      <c r="E20" s="1"/>
      <c r="F20" s="1"/>
      <c r="G20" s="1"/>
      <c r="H20" s="1"/>
      <c r="I20" s="1"/>
      <c r="J20" s="1"/>
      <c r="K20" s="1"/>
    </row>
    <row r="21" ht="12.75" customHeight="1">
      <c r="A21" s="1"/>
      <c r="B21" s="24"/>
      <c r="C21" s="6"/>
      <c r="D21" s="40"/>
      <c r="E21" s="1"/>
      <c r="F21" s="1"/>
      <c r="G21" s="25"/>
      <c r="H21" s="122"/>
      <c r="I21" s="8"/>
      <c r="J21" s="1"/>
      <c r="K21" s="1"/>
    </row>
    <row r="22" ht="12.75" customHeight="1">
      <c r="A22" s="1"/>
      <c r="B22" s="24" t="s">
        <v>74</v>
      </c>
      <c r="C22" s="6" t="str">
        <f>'KM1'!$C$22</f>
        <v>I</v>
      </c>
      <c r="D22" s="40" t="str">
        <f>IF(C22="I","",IF(C22="II","",IF(C22="III","",IF(C22="nvt","","  onjuiste invoer"))))</f>
        <v/>
      </c>
      <c r="E22" s="1"/>
      <c r="F22" s="1"/>
      <c r="G22" s="25" t="s">
        <v>73</v>
      </c>
      <c r="H22" s="119">
        <f>'KM1'!$H$22</f>
        <v>36526</v>
      </c>
      <c r="I22" s="3"/>
      <c r="J22" s="1"/>
      <c r="K22" s="1"/>
    </row>
    <row r="23" ht="12.75" customHeight="1">
      <c r="A23" s="1"/>
      <c r="B23" s="1"/>
      <c r="C23" s="8"/>
      <c r="D23" s="42" t="str">
        <f>IF(AND(C21="nvt",C22="nvt"),"welke functie is van toepassing?"," ")</f>
        <v> </v>
      </c>
      <c r="E23" s="1"/>
      <c r="F23" s="1"/>
      <c r="G23" s="1"/>
      <c r="H23" s="1"/>
      <c r="I23" s="1"/>
      <c r="J23" s="1"/>
      <c r="K23" s="1"/>
    </row>
    <row r="24" ht="12.75" customHeight="1">
      <c r="A24" s="1" t="s">
        <v>32</v>
      </c>
      <c r="B24" s="4" t="s">
        <v>76</v>
      </c>
      <c r="C24" s="8"/>
      <c r="D24" s="8"/>
      <c r="E24" s="1"/>
      <c r="F24" s="1"/>
      <c r="G24" s="1"/>
      <c r="H24" s="1"/>
      <c r="I24" s="1"/>
      <c r="J24" s="1"/>
      <c r="K24" s="1"/>
    </row>
    <row r="25" ht="12.75" customHeight="1">
      <c r="A25" s="1"/>
      <c r="B25" s="1" t="s">
        <v>77</v>
      </c>
      <c r="C25" s="8"/>
      <c r="D25" s="40"/>
      <c r="E25" s="1"/>
      <c r="F25" s="40" t="str">
        <f>IF(C27="I","",IF(C27="II","",IF(C27="III","",IF(C27="geen","","onjuiste invoer cantoraat"))))</f>
        <v/>
      </c>
      <c r="G25" s="1"/>
      <c r="H25" s="1"/>
      <c r="I25" s="1"/>
      <c r="J25" s="28"/>
      <c r="K25" s="1"/>
    </row>
    <row r="26" ht="12.75" customHeight="1">
      <c r="A26" s="1"/>
      <c r="B26" s="24"/>
      <c r="C26" s="6"/>
      <c r="D26" s="1"/>
      <c r="E26" s="25"/>
      <c r="F26" s="4"/>
      <c r="G26" s="1"/>
      <c r="H26" s="1"/>
      <c r="I26" s="123"/>
      <c r="J26" s="11"/>
      <c r="K26" s="1"/>
    </row>
    <row r="27" ht="12.75" customHeight="1">
      <c r="A27" s="1"/>
      <c r="B27" s="24" t="s">
        <v>74</v>
      </c>
      <c r="C27" s="7" t="s">
        <v>75</v>
      </c>
      <c r="D27" s="44"/>
      <c r="E27" s="25" t="s">
        <v>79</v>
      </c>
      <c r="F27" s="33" t="s">
        <v>190</v>
      </c>
      <c r="G27" s="3"/>
      <c r="H27" s="3"/>
      <c r="I27" s="124">
        <v>32874.0</v>
      </c>
      <c r="J27" s="3"/>
      <c r="K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28" t="str">
        <f>IF(OR(C27="I",C27="II",C27="III"),IF(I27&gt;I5,IF(I27&lt;I3,"","onjuist")),IF(C27="geen",IF(I27="nvt","","onjuist"),"onjuist"))</f>
        <v/>
      </c>
      <c r="K28" s="1"/>
    </row>
    <row r="29" ht="12.75" customHeight="1">
      <c r="A29" s="1" t="s">
        <v>81</v>
      </c>
      <c r="B29" s="4" t="s">
        <v>82</v>
      </c>
      <c r="C29" s="1"/>
      <c r="D29" s="1"/>
      <c r="E29" s="1"/>
      <c r="F29" s="1"/>
      <c r="G29" s="1"/>
      <c r="H29" s="1"/>
      <c r="I29" s="1"/>
      <c r="J29" s="1"/>
      <c r="K29" s="28"/>
    </row>
    <row r="30" ht="12.75" customHeight="1">
      <c r="A30" s="1"/>
      <c r="B30" s="4"/>
      <c r="C30" s="1"/>
      <c r="D30" s="1"/>
      <c r="E30" s="1"/>
      <c r="F30" s="4"/>
      <c r="G30" s="1"/>
      <c r="H30" s="1"/>
      <c r="I30" s="4"/>
      <c r="J30" s="1"/>
      <c r="K30" s="1"/>
    </row>
    <row r="31" ht="12.75" customHeight="1">
      <c r="A31" s="1"/>
      <c r="B31" s="1" t="s">
        <v>84</v>
      </c>
      <c r="C31" s="5" t="str">
        <f>$I$14</f>
        <v>Voorbeeld</v>
      </c>
      <c r="D31" s="1"/>
      <c r="E31" s="40" t="str">
        <f>IF($E$36&gt;0,IF($F$37="onbev","onjuiste invoer dienstjaren vorige betrekkingen","" ),"")</f>
        <v/>
      </c>
      <c r="F31" s="1"/>
      <c r="G31" s="1"/>
      <c r="H31" s="1"/>
      <c r="I31" s="1"/>
      <c r="J31" s="1"/>
      <c r="K31" s="1"/>
    </row>
    <row r="32" ht="12.75" customHeight="1">
      <c r="A32" s="1"/>
      <c r="B32" s="1" t="s">
        <v>85</v>
      </c>
      <c r="C32" s="1"/>
      <c r="D32" s="1"/>
      <c r="E32" s="1"/>
      <c r="F32" s="33">
        <v>36526.0</v>
      </c>
      <c r="G32" s="3"/>
      <c r="H32" s="1"/>
      <c r="I32" s="122"/>
      <c r="J32" s="8"/>
      <c r="K32" s="1"/>
    </row>
    <row r="33" ht="12.75" customHeight="1">
      <c r="A33" s="1"/>
      <c r="B33" s="1"/>
      <c r="C33" s="1"/>
      <c r="D33" s="27" t="str">
        <f>IF(OR(F32="nvt",I27="nvt",E36=0),"",IF((DAYS360($I$27,$F$32)-$E$36*360)&gt;0,"","onjuiste invoer dienstjaren vorige betrekkingen"))</f>
        <v/>
      </c>
      <c r="E33" s="1"/>
      <c r="F33" s="44"/>
      <c r="G33" s="1"/>
      <c r="H33" s="1"/>
      <c r="I33" s="4"/>
      <c r="J33" s="1"/>
      <c r="K33" s="40"/>
    </row>
    <row r="34" ht="12.75" customHeight="1">
      <c r="A34" s="1"/>
      <c r="B34" s="1"/>
      <c r="C34" s="1"/>
      <c r="D34" s="27"/>
      <c r="E34" s="1"/>
      <c r="F34" s="44"/>
      <c r="G34" s="1"/>
      <c r="H34" s="1"/>
      <c r="I34" s="4"/>
      <c r="J34" s="1"/>
      <c r="K34" s="40"/>
    </row>
    <row r="35" ht="12.75" customHeight="1">
      <c r="A35" s="1"/>
      <c r="B35" s="1"/>
      <c r="C35" s="1"/>
      <c r="D35" s="27"/>
      <c r="E35" s="1"/>
      <c r="F35" s="37"/>
      <c r="G35" s="1"/>
      <c r="H35" s="1"/>
      <c r="I35" s="4"/>
      <c r="J35" s="1"/>
      <c r="K35" s="1"/>
    </row>
    <row r="36" ht="12.75" customHeight="1">
      <c r="A36" s="1"/>
      <c r="B36" s="1" t="s">
        <v>88</v>
      </c>
      <c r="C36" s="1"/>
      <c r="D36" s="1"/>
      <c r="E36" s="7">
        <v>8.0</v>
      </c>
      <c r="F36" s="47">
        <f>IF(OR($C$27="geen",$I$27="nvt"),0,IF((DAYS360($I$27,$F$32)-($E$36*360-1))&gt;0,$E$36,0))</f>
        <v>8</v>
      </c>
      <c r="G36" s="3"/>
      <c r="H36" s="6"/>
      <c r="I36" s="6"/>
      <c r="J36" s="1"/>
      <c r="K36" s="1"/>
    </row>
    <row r="37" ht="12.75" customHeight="1">
      <c r="A37" s="1"/>
      <c r="B37" s="1" t="s">
        <v>89</v>
      </c>
      <c r="C37" s="1"/>
      <c r="D37" s="8"/>
      <c r="E37" s="1"/>
      <c r="F37" s="47">
        <f>IF($I$27="nvt","onbev",IF($F$27="nvt",0,IF($F$32&gt;$I$27,ROUNDDOWN(($I$3-$F$32)/365,0),IF($I$3&gt;$I$27,ROUNDDOWN(($I$3-$I$27)/365,0),0))))</f>
        <v>8</v>
      </c>
      <c r="G37" s="3"/>
      <c r="H37" s="1"/>
      <c r="I37" s="6"/>
      <c r="J37" s="1"/>
      <c r="K37" s="1"/>
    </row>
    <row r="38" ht="12.75" customHeight="1">
      <c r="A38" s="1"/>
      <c r="B38" s="1"/>
      <c r="C38" s="6"/>
      <c r="D38" s="48" t="s">
        <v>90</v>
      </c>
      <c r="E38" s="1"/>
      <c r="F38" s="47">
        <f>IF(F37="onbev",0,(F36+F37))</f>
        <v>16</v>
      </c>
      <c r="G38" s="3"/>
      <c r="H38" s="1"/>
      <c r="I38" s="6"/>
      <c r="J38" s="1"/>
      <c r="K38" s="1"/>
    </row>
    <row r="39" ht="12.75" customHeight="1">
      <c r="A39" s="1"/>
      <c r="B39" s="1"/>
      <c r="C39" s="6"/>
      <c r="D39" s="48" t="s">
        <v>91</v>
      </c>
      <c r="E39" s="1"/>
      <c r="F39" s="47" t="str">
        <f>IF(C22="III",IF(F38&gt;10,10,F38),IF(F38&gt;9,"10",F38))</f>
        <v>10</v>
      </c>
      <c r="G39" s="3"/>
      <c r="H39" s="1"/>
      <c r="I39" s="6"/>
      <c r="J39" s="1"/>
      <c r="K39" s="1"/>
    </row>
    <row r="40" ht="12.75" customHeight="1">
      <c r="A40" s="1"/>
      <c r="B40" s="4"/>
      <c r="C40" s="6"/>
      <c r="D40" s="51"/>
      <c r="E40" s="1"/>
      <c r="F40" s="6"/>
      <c r="G40" s="1"/>
      <c r="H40" s="1"/>
      <c r="I40" s="6"/>
      <c r="J40" s="1"/>
      <c r="K40" s="1"/>
    </row>
    <row r="41" ht="12.75" customHeight="1">
      <c r="A41" s="1"/>
      <c r="B41" s="1"/>
      <c r="C41" s="6"/>
      <c r="D41" s="51"/>
      <c r="E41" s="25" t="s">
        <v>191</v>
      </c>
      <c r="F41" s="47" t="str">
        <f>IF($C$27=$C$22,$C$22,IF($C$27&lt;$C$22,$C$22,IF(AND($C$27&gt;$C$22,$F$39&gt;2),IF($C$27="III",$C$22,$C$27),$C$22)))</f>
        <v>I</v>
      </c>
      <c r="G41" s="3"/>
      <c r="H41" s="25"/>
      <c r="I41" s="6"/>
      <c r="J41" s="1"/>
      <c r="K41" s="1"/>
    </row>
    <row r="42" ht="12.75" customHeight="1">
      <c r="A42" s="1"/>
      <c r="B42" s="1"/>
      <c r="C42" s="6"/>
      <c r="D42" s="1"/>
      <c r="E42" s="48" t="s">
        <v>93</v>
      </c>
      <c r="F42" s="47" t="str">
        <f>IF($C$27=$C$22,$F$39,IF($C$27&lt;$C$22,$F$39,IF(AND($C$27&gt;$C$22,$F$39&gt;2),IF($C$27="III",0,$F$39),0)))</f>
        <v>10</v>
      </c>
      <c r="G42" s="3"/>
      <c r="H42" s="48"/>
      <c r="I42" s="6"/>
      <c r="J42" s="1"/>
      <c r="K42" s="1"/>
    </row>
    <row r="43" ht="12.75" customHeight="1">
      <c r="A43" s="1"/>
      <c r="B43" s="1"/>
      <c r="C43" s="1"/>
      <c r="D43" s="1"/>
      <c r="E43" s="48" t="s">
        <v>94</v>
      </c>
      <c r="F43" s="6" t="str">
        <f>CONCATENATE(F41,".",F42)</f>
        <v>I.10</v>
      </c>
      <c r="G43" s="1"/>
      <c r="H43" s="48"/>
      <c r="I43" s="6"/>
      <c r="J43" s="1"/>
      <c r="K43" s="1"/>
    </row>
    <row r="44" ht="12.75" customHeight="1">
      <c r="A44" s="1"/>
      <c r="B44" s="1"/>
      <c r="C44" s="6"/>
      <c r="D44" s="51"/>
      <c r="E44" s="1"/>
      <c r="F44" s="6"/>
      <c r="G44" s="1"/>
      <c r="H44" s="1"/>
      <c r="I44" s="6"/>
      <c r="J44" s="1"/>
      <c r="K44" s="1"/>
    </row>
    <row r="45" ht="12.75" customHeight="1">
      <c r="A45" s="1"/>
      <c r="B45" s="1" t="s">
        <v>95</v>
      </c>
      <c r="C45" s="6"/>
      <c r="D45" s="51"/>
      <c r="E45" s="1"/>
      <c r="F45" s="52">
        <f>IF(OR(C5="",$F$32="nvt"),0,VLOOKUP($F$43,Salaristabellen!A8:H46,8,FALSE))</f>
        <v>3.121257692</v>
      </c>
      <c r="G45" s="53"/>
      <c r="H45" s="1"/>
      <c r="I45" s="125"/>
      <c r="J45" s="1"/>
      <c r="K45" s="1"/>
    </row>
    <row r="46" ht="12.75" customHeight="1">
      <c r="A46" s="1"/>
      <c r="B46" s="1" t="s">
        <v>96</v>
      </c>
      <c r="C46" s="6"/>
      <c r="D46" s="51"/>
      <c r="E46" s="1"/>
      <c r="F46" s="54">
        <f>IF(OR(C5="",$F$32="nvt"),0,VLOOKUP($F$43,Salaristabellen!A8:H46,2,FALSE)*12/(52*36))</f>
        <v>34.68064103</v>
      </c>
      <c r="G46" s="55"/>
      <c r="H46" s="1"/>
      <c r="I46" s="125"/>
      <c r="J46" s="1"/>
      <c r="K46" s="1"/>
    </row>
    <row r="47" ht="12.75" customHeight="1">
      <c r="A47" s="1"/>
      <c r="B47" s="1"/>
      <c r="C47" s="6"/>
      <c r="D47" s="51"/>
      <c r="E47" s="1"/>
      <c r="F47" s="1" t="str">
        <f>Salaristabellen!$G$1</f>
        <v>(salarisschalen per 1 januari 2024)</v>
      </c>
      <c r="G47" s="1"/>
      <c r="H47" s="1"/>
      <c r="I47" s="51"/>
      <c r="J47" s="8"/>
      <c r="K47" s="1"/>
    </row>
    <row r="48" ht="12.75" customHeight="1">
      <c r="A48" s="1"/>
      <c r="B48" s="1"/>
      <c r="C48" s="6"/>
      <c r="D48" s="51"/>
      <c r="E48" s="1"/>
      <c r="F48" s="1"/>
      <c r="G48" s="1"/>
      <c r="H48" s="1"/>
      <c r="I48" s="51"/>
      <c r="J48" s="8"/>
      <c r="K48" s="1"/>
    </row>
    <row r="49" ht="12.75" customHeight="1">
      <c r="A49" s="1" t="s">
        <v>97</v>
      </c>
      <c r="B49" s="56" t="s">
        <v>99</v>
      </c>
      <c r="C49" s="57" t="str">
        <f>$C$14</f>
        <v>cantor</v>
      </c>
      <c r="D49" s="58"/>
      <c r="E49" s="59" t="s">
        <v>100</v>
      </c>
      <c r="F49" s="56" t="s">
        <v>101</v>
      </c>
      <c r="G49" s="126" t="s">
        <v>192</v>
      </c>
      <c r="H49" s="53"/>
      <c r="I49" s="49" t="s">
        <v>193</v>
      </c>
      <c r="J49" s="50"/>
      <c r="K49" s="1"/>
    </row>
    <row r="50" ht="12.75" customHeight="1">
      <c r="A50" s="1"/>
      <c r="B50" s="127" t="s">
        <v>194</v>
      </c>
      <c r="C50" s="14"/>
      <c r="D50" s="70"/>
      <c r="E50" s="8">
        <v>30.0</v>
      </c>
      <c r="F50" s="128">
        <v>12.0</v>
      </c>
      <c r="G50" s="129">
        <f t="shared" ref="G50:G51" si="1">F50*E50/52</f>
        <v>6.923076923</v>
      </c>
      <c r="H50" s="53"/>
      <c r="I50" s="6"/>
      <c r="J50" s="75"/>
      <c r="K50" s="1"/>
    </row>
    <row r="51" ht="12.75" customHeight="1">
      <c r="A51" s="1"/>
      <c r="B51" s="71" t="s">
        <v>195</v>
      </c>
      <c r="C51" s="1"/>
      <c r="D51" s="75"/>
      <c r="E51" s="8">
        <v>40.0</v>
      </c>
      <c r="F51" s="128">
        <v>1.0</v>
      </c>
      <c r="G51" s="130">
        <f t="shared" si="1"/>
        <v>0.7692307692</v>
      </c>
      <c r="H51" s="76"/>
      <c r="I51" s="6"/>
      <c r="J51" s="75"/>
      <c r="K51" s="1"/>
    </row>
    <row r="52" ht="12.75" customHeight="1">
      <c r="A52" s="1"/>
      <c r="B52" s="71" t="s">
        <v>196</v>
      </c>
      <c r="C52" s="1"/>
      <c r="D52" s="75"/>
      <c r="E52" s="8">
        <v>30.0</v>
      </c>
      <c r="F52" s="128">
        <v>2.0</v>
      </c>
      <c r="G52" s="130">
        <f>F52*E52</f>
        <v>60</v>
      </c>
      <c r="H52" s="76"/>
      <c r="I52" s="6"/>
      <c r="J52" s="75"/>
      <c r="K52" s="1"/>
    </row>
    <row r="53" ht="12.75" customHeight="1">
      <c r="A53" s="1"/>
      <c r="B53" s="71" t="s">
        <v>197</v>
      </c>
      <c r="C53" s="1"/>
      <c r="D53" s="75"/>
      <c r="E53" s="8"/>
      <c r="F53" s="128">
        <v>0.0</v>
      </c>
      <c r="G53" s="131">
        <f>F53</f>
        <v>0</v>
      </c>
      <c r="H53" s="76"/>
      <c r="I53" s="6"/>
      <c r="J53" s="75"/>
      <c r="K53" s="1"/>
    </row>
    <row r="54" ht="12.75" customHeight="1">
      <c r="A54" s="1"/>
      <c r="B54" s="71" t="s">
        <v>198</v>
      </c>
      <c r="C54" s="1"/>
      <c r="D54" s="75"/>
      <c r="E54" s="8"/>
      <c r="F54" s="132"/>
      <c r="G54" s="132"/>
      <c r="H54" s="133"/>
      <c r="I54" s="6"/>
      <c r="J54" s="75"/>
      <c r="K54" s="1"/>
    </row>
    <row r="55" ht="12.75" customHeight="1">
      <c r="A55" s="1"/>
      <c r="B55" s="81" t="s">
        <v>199</v>
      </c>
      <c r="C55" s="3"/>
      <c r="D55" s="76"/>
      <c r="E55" s="8"/>
      <c r="F55" s="128"/>
      <c r="G55" s="132"/>
      <c r="H55" s="133"/>
      <c r="I55" s="84" t="str">
        <f t="shared" ref="I55:I57" si="2">F55</f>
        <v/>
      </c>
      <c r="J55" s="76"/>
      <c r="K55" s="1"/>
    </row>
    <row r="56" ht="12.75" customHeight="1">
      <c r="A56" s="1"/>
      <c r="B56" s="81" t="s">
        <v>200</v>
      </c>
      <c r="C56" s="3"/>
      <c r="D56" s="76"/>
      <c r="E56" s="1"/>
      <c r="F56" s="128">
        <v>0.5</v>
      </c>
      <c r="G56" s="71"/>
      <c r="H56" s="75"/>
      <c r="I56" s="84">
        <f t="shared" si="2"/>
        <v>0.5</v>
      </c>
      <c r="J56" s="76"/>
      <c r="K56" s="1"/>
    </row>
    <row r="57" ht="12.75" customHeight="1">
      <c r="A57" s="1"/>
      <c r="B57" s="81" t="s">
        <v>199</v>
      </c>
      <c r="C57" s="3"/>
      <c r="D57" s="76"/>
      <c r="E57" s="8"/>
      <c r="F57" s="128"/>
      <c r="G57" s="132"/>
      <c r="H57" s="133"/>
      <c r="I57" s="84" t="str">
        <f t="shared" si="2"/>
        <v/>
      </c>
      <c r="J57" s="76"/>
      <c r="K57" s="1"/>
    </row>
    <row r="58" ht="12.75" customHeight="1">
      <c r="A58" s="1"/>
      <c r="B58" s="86" t="s">
        <v>201</v>
      </c>
      <c r="C58" s="3"/>
      <c r="D58" s="76"/>
      <c r="E58" s="8"/>
      <c r="F58" s="132"/>
      <c r="G58" s="132"/>
      <c r="H58" s="133"/>
      <c r="I58" s="84"/>
      <c r="J58" s="76"/>
      <c r="K58" s="1"/>
    </row>
    <row r="59" ht="12.75" customHeight="1">
      <c r="A59" s="1"/>
      <c r="B59" s="81" t="s">
        <v>202</v>
      </c>
      <c r="C59" s="3"/>
      <c r="D59" s="76"/>
      <c r="E59" s="8"/>
      <c r="F59" s="128"/>
      <c r="G59" s="132"/>
      <c r="H59" s="133"/>
      <c r="I59" s="130">
        <f t="shared" ref="I59:I63" si="3">F59/52</f>
        <v>0</v>
      </c>
      <c r="J59" s="76"/>
      <c r="K59" s="1"/>
    </row>
    <row r="60" ht="12.75" customHeight="1">
      <c r="A60" s="1"/>
      <c r="B60" s="81" t="s">
        <v>203</v>
      </c>
      <c r="C60" s="3"/>
      <c r="D60" s="76"/>
      <c r="E60" s="8"/>
      <c r="F60" s="128">
        <v>4.0</v>
      </c>
      <c r="G60" s="132"/>
      <c r="H60" s="133"/>
      <c r="I60" s="130">
        <f t="shared" si="3"/>
        <v>0.07692307692</v>
      </c>
      <c r="J60" s="76"/>
      <c r="K60" s="1"/>
    </row>
    <row r="61" ht="12.75" customHeight="1">
      <c r="A61" s="1"/>
      <c r="B61" s="81" t="s">
        <v>202</v>
      </c>
      <c r="C61" s="3"/>
      <c r="D61" s="76"/>
      <c r="E61" s="8"/>
      <c r="F61" s="128"/>
      <c r="G61" s="132"/>
      <c r="H61" s="133"/>
      <c r="I61" s="130">
        <f t="shared" si="3"/>
        <v>0</v>
      </c>
      <c r="J61" s="76"/>
      <c r="K61" s="1"/>
    </row>
    <row r="62" ht="12.75" customHeight="1">
      <c r="A62" s="1"/>
      <c r="B62" s="81" t="s">
        <v>204</v>
      </c>
      <c r="C62" s="3"/>
      <c r="D62" s="76"/>
      <c r="E62" s="8"/>
      <c r="F62" s="128"/>
      <c r="G62" s="132"/>
      <c r="H62" s="133"/>
      <c r="I62" s="130">
        <f t="shared" si="3"/>
        <v>0</v>
      </c>
      <c r="J62" s="76"/>
      <c r="K62" s="1"/>
    </row>
    <row r="63" ht="12.75" customHeight="1">
      <c r="A63" s="1"/>
      <c r="B63" s="87" t="s">
        <v>205</v>
      </c>
      <c r="C63" s="88"/>
      <c r="D63" s="55"/>
      <c r="E63" s="18"/>
      <c r="F63" s="134"/>
      <c r="G63" s="135"/>
      <c r="H63" s="136"/>
      <c r="I63" s="130">
        <f t="shared" si="3"/>
        <v>0</v>
      </c>
      <c r="J63" s="76"/>
      <c r="K63" s="1"/>
    </row>
    <row r="64" ht="12.75" customHeight="1">
      <c r="A64" s="1"/>
      <c r="B64" s="92" t="s">
        <v>118</v>
      </c>
      <c r="C64" s="18"/>
      <c r="D64" s="18"/>
      <c r="E64" s="18"/>
      <c r="F64" s="92"/>
      <c r="G64" s="137">
        <f>SUM(G50:G63)</f>
        <v>67.69230769</v>
      </c>
      <c r="H64" s="55"/>
      <c r="I64" s="102">
        <f>SUM(I50:I63)</f>
        <v>0.5769230769</v>
      </c>
      <c r="J64" s="50"/>
      <c r="K64" s="1"/>
    </row>
    <row r="65" ht="12.75" customHeight="1">
      <c r="A65" s="1"/>
      <c r="B65" s="1"/>
      <c r="C65" s="1"/>
      <c r="D65" s="1"/>
      <c r="E65" s="1"/>
      <c r="F65" s="1"/>
      <c r="G65" s="78"/>
      <c r="H65" s="8"/>
      <c r="I65" s="78"/>
      <c r="J65" s="82"/>
      <c r="K65" s="1"/>
    </row>
    <row r="66" ht="12.75" customHeight="1">
      <c r="A66" s="1"/>
      <c r="B66" s="1"/>
      <c r="C66" s="1"/>
      <c r="D66" s="1"/>
      <c r="E66" s="1"/>
      <c r="F66" s="1"/>
      <c r="G66" s="98" t="s">
        <v>120</v>
      </c>
      <c r="H66" s="50"/>
      <c r="I66" s="98" t="s">
        <v>121</v>
      </c>
      <c r="J66" s="50"/>
      <c r="K66" s="1"/>
    </row>
    <row r="67" ht="12.75" customHeight="1">
      <c r="A67" s="1"/>
      <c r="B67" s="56" t="s">
        <v>206</v>
      </c>
      <c r="C67" s="99"/>
      <c r="D67" s="99"/>
      <c r="E67" s="99"/>
      <c r="F67" s="99"/>
      <c r="G67" s="101">
        <f>IF($F$41="III",0.07*$G$64,0.09*$G$64)</f>
        <v>6.092307692</v>
      </c>
      <c r="H67" s="50"/>
      <c r="I67" s="101">
        <f>$I$64</f>
        <v>0.5769230769</v>
      </c>
      <c r="J67" s="50"/>
      <c r="K67" s="1"/>
    </row>
    <row r="68" ht="12.75" customHeight="1">
      <c r="A68" s="1"/>
      <c r="B68" s="56" t="s">
        <v>123</v>
      </c>
      <c r="C68" s="99"/>
      <c r="D68" s="99"/>
      <c r="E68" s="99"/>
      <c r="F68" s="99"/>
      <c r="G68" s="102">
        <f>$G$67+$I$67</f>
        <v>6.669230769</v>
      </c>
      <c r="H68" s="103"/>
      <c r="I68" s="103"/>
      <c r="J68" s="50"/>
      <c r="K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2.75" customHeight="1">
      <c r="A70" s="1" t="s">
        <v>124</v>
      </c>
      <c r="B70" s="4" t="s">
        <v>125</v>
      </c>
      <c r="C70" s="1"/>
      <c r="D70" s="1"/>
      <c r="E70" s="1"/>
      <c r="F70" s="1"/>
      <c r="G70" s="1"/>
      <c r="H70" s="1"/>
      <c r="I70" s="1"/>
      <c r="J70" s="1"/>
      <c r="K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2.75" customHeight="1">
      <c r="A72" s="1"/>
      <c r="B72" s="1" t="s">
        <v>126</v>
      </c>
      <c r="C72" s="5" t="str">
        <f>C5</f>
        <v>Hr Dirigent</v>
      </c>
      <c r="D72" s="5"/>
      <c r="E72" s="1" t="s">
        <v>127</v>
      </c>
      <c r="F72" s="1"/>
      <c r="G72" s="1"/>
      <c r="H72" s="1"/>
      <c r="I72" s="1"/>
      <c r="J72" s="1"/>
      <c r="K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2.75" customHeight="1">
      <c r="A75" s="1"/>
      <c r="B75" s="1" t="s">
        <v>207</v>
      </c>
      <c r="C75" s="82">
        <f>G64</f>
        <v>67.69230769</v>
      </c>
      <c r="D75" s="8" t="s">
        <v>129</v>
      </c>
      <c r="E75" s="138">
        <f>$F$45</f>
        <v>3.121257692</v>
      </c>
      <c r="F75" s="138">
        <f t="shared" ref="F75:F76" si="4">IF(OR($D$57="organist",$D$57="cantor-organist"),$F$46,IF($D$57="cantor",$I$46,0))</f>
        <v>0</v>
      </c>
      <c r="G75" s="1"/>
      <c r="H75" s="106" t="s">
        <v>130</v>
      </c>
      <c r="I75" s="107">
        <f>IF(F32="nvt","",C75*E75)</f>
        <v>211.2851361</v>
      </c>
      <c r="J75" s="3"/>
      <c r="K75" s="1"/>
    </row>
    <row r="76" ht="12.75" customHeight="1">
      <c r="A76" s="1"/>
      <c r="B76" s="1" t="s">
        <v>132</v>
      </c>
      <c r="C76" s="82">
        <f>I64</f>
        <v>0.5769230769</v>
      </c>
      <c r="D76" s="8" t="s">
        <v>129</v>
      </c>
      <c r="E76" s="138">
        <f>IF(I64=0,0,$F$46)</f>
        <v>34.68064103</v>
      </c>
      <c r="F76" s="138">
        <f t="shared" si="4"/>
        <v>0</v>
      </c>
      <c r="G76" s="1"/>
      <c r="H76" s="106" t="s">
        <v>130</v>
      </c>
      <c r="I76" s="107">
        <f>IF(F32="nvt","",C76*E76)</f>
        <v>20.00806213</v>
      </c>
      <c r="J76" s="3"/>
      <c r="K76" s="1"/>
    </row>
    <row r="77" ht="12.75" customHeight="1">
      <c r="A77" s="1"/>
      <c r="B77" s="1"/>
      <c r="C77" s="1"/>
      <c r="D77" s="1"/>
      <c r="E77" s="1"/>
      <c r="F77" s="1"/>
      <c r="G77" s="1"/>
      <c r="H77" s="25" t="s">
        <v>133</v>
      </c>
      <c r="I77" s="107">
        <f>SUM(I75:I76)</f>
        <v>231.2931982</v>
      </c>
      <c r="J77" s="3"/>
      <c r="K77" s="1"/>
    </row>
    <row r="78" ht="12.75" customHeight="1">
      <c r="A78" s="1"/>
      <c r="B78" s="1"/>
      <c r="C78" s="6"/>
      <c r="D78" s="1"/>
      <c r="E78" s="1"/>
      <c r="F78" s="1"/>
      <c r="G78" s="1"/>
      <c r="H78" s="109"/>
      <c r="I78" s="3"/>
      <c r="J78" s="109"/>
      <c r="K78" s="3"/>
    </row>
    <row r="79" ht="12.75" customHeight="1">
      <c r="A79" s="1"/>
      <c r="B79" s="1"/>
      <c r="C79" s="1"/>
      <c r="D79" s="1"/>
      <c r="E79" s="1"/>
      <c r="F79" s="1"/>
      <c r="G79" s="25"/>
      <c r="H79" s="107"/>
      <c r="I79" s="3"/>
      <c r="J79" s="107"/>
      <c r="K79" s="3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2.75" customHeight="1">
      <c r="A81" s="1"/>
      <c r="B81" s="1"/>
      <c r="C81" s="110" t="s">
        <v>134</v>
      </c>
      <c r="D81" s="111" t="s">
        <v>135</v>
      </c>
      <c r="E81" s="112" t="s">
        <v>136</v>
      </c>
      <c r="F81" s="53"/>
      <c r="G81" s="47"/>
      <c r="H81" s="3"/>
      <c r="I81" s="4"/>
      <c r="J81" s="1"/>
      <c r="K81" s="1"/>
    </row>
    <row r="82" ht="12.75" customHeight="1">
      <c r="A82" s="1"/>
      <c r="B82" s="1"/>
      <c r="C82" s="113">
        <f>$I$77*52/12</f>
        <v>1002.270526</v>
      </c>
      <c r="D82" s="114">
        <f>$C$82*12</f>
        <v>12027.24631</v>
      </c>
      <c r="E82" s="115">
        <f>IF($I$77=0,"nvt",$G$68/36)</f>
        <v>0.1852564103</v>
      </c>
      <c r="F82" s="55"/>
      <c r="G82" s="47"/>
      <c r="H82" s="3"/>
      <c r="I82" s="1"/>
      <c r="J82" s="1"/>
      <c r="K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2.75" customHeight="1">
      <c r="A84" s="1"/>
      <c r="B84" s="1"/>
      <c r="C84" s="1"/>
      <c r="D84" s="1"/>
      <c r="E84" s="1"/>
      <c r="F84" s="117" t="str">
        <f>IF(OR(Cantor!$F$53&gt;4,('KM1'!$F$55+'KM2'!$F$55+'KM3'!$F$55+'KM4'!$F$55+'KM5'!$F$55)&gt;4),"","vorming is onjuist ingevuld")</f>
        <v/>
      </c>
      <c r="G84" s="1"/>
      <c r="H84" s="1"/>
      <c r="I84" s="1"/>
      <c r="J84" s="1"/>
      <c r="K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2.75" customHeight="1">
      <c r="A86" s="1"/>
      <c r="B86" s="1"/>
      <c r="C86" s="1"/>
      <c r="D86" s="1"/>
      <c r="E86" s="120"/>
      <c r="F86" s="120" t="str">
        <f>IF($C$88=0,"",400*$C$88/$E$92)</f>
        <v/>
      </c>
      <c r="G86" s="1"/>
      <c r="H86" s="1"/>
      <c r="I86" s="1"/>
      <c r="J86" s="1"/>
      <c r="K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G53:H53"/>
    <mergeCell ref="B55:D55"/>
    <mergeCell ref="I55:J55"/>
    <mergeCell ref="B56:D56"/>
    <mergeCell ref="I56:J56"/>
    <mergeCell ref="B57:D57"/>
    <mergeCell ref="B58:D58"/>
    <mergeCell ref="B59:D59"/>
    <mergeCell ref="I59:J59"/>
    <mergeCell ref="B60:D60"/>
    <mergeCell ref="I60:J60"/>
    <mergeCell ref="B61:D61"/>
    <mergeCell ref="I61:J61"/>
    <mergeCell ref="I62:J62"/>
    <mergeCell ref="I63:J63"/>
    <mergeCell ref="G64:H64"/>
    <mergeCell ref="I64:J64"/>
    <mergeCell ref="G66:H66"/>
    <mergeCell ref="I66:J66"/>
    <mergeCell ref="G67:H67"/>
    <mergeCell ref="G68:J68"/>
    <mergeCell ref="I67:J67"/>
    <mergeCell ref="I75:J75"/>
    <mergeCell ref="I76:J76"/>
    <mergeCell ref="I77:J77"/>
    <mergeCell ref="H78:I78"/>
    <mergeCell ref="J78:K78"/>
    <mergeCell ref="J79:K79"/>
    <mergeCell ref="A2:I2"/>
    <mergeCell ref="I3:J3"/>
    <mergeCell ref="C5:D5"/>
    <mergeCell ref="I5:J5"/>
    <mergeCell ref="C8:D8"/>
    <mergeCell ref="C9:D9"/>
    <mergeCell ref="C11:D11"/>
    <mergeCell ref="C12:D12"/>
    <mergeCell ref="C14:D14"/>
    <mergeCell ref="I14:K14"/>
    <mergeCell ref="I15:K15"/>
    <mergeCell ref="H22:I22"/>
    <mergeCell ref="F27:H27"/>
    <mergeCell ref="I27:J27"/>
    <mergeCell ref="F32:G32"/>
    <mergeCell ref="F36:G36"/>
    <mergeCell ref="F37:G37"/>
    <mergeCell ref="F38:G38"/>
    <mergeCell ref="F39:G39"/>
    <mergeCell ref="F41:G41"/>
    <mergeCell ref="F42:G42"/>
    <mergeCell ref="F45:G45"/>
    <mergeCell ref="F46:G46"/>
    <mergeCell ref="G49:H49"/>
    <mergeCell ref="I49:J49"/>
    <mergeCell ref="G50:H50"/>
    <mergeCell ref="G51:H51"/>
    <mergeCell ref="G52:H52"/>
    <mergeCell ref="I57:J57"/>
    <mergeCell ref="I58:J58"/>
    <mergeCell ref="B62:D62"/>
    <mergeCell ref="B63:D63"/>
    <mergeCell ref="H79:I79"/>
    <mergeCell ref="E81:F81"/>
    <mergeCell ref="G81:H81"/>
    <mergeCell ref="E82:F82"/>
    <mergeCell ref="G82:H82"/>
  </mergeCells>
  <printOptions/>
  <pageMargins bottom="0.75" footer="0.0" header="0.0" left="0.7" right="0.7" top="0.75"/>
  <pageSetup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1.75"/>
    <col customWidth="1" min="3" max="3" width="2.38"/>
    <col customWidth="1" min="4" max="4" width="11.75"/>
    <col customWidth="1" min="5" max="5" width="2.13"/>
    <col customWidth="1" min="6" max="6" width="11.75"/>
    <col customWidth="1" min="7" max="7" width="2.88"/>
    <col customWidth="1" min="8" max="8" width="11.75"/>
    <col customWidth="1" min="9" max="9" width="2.75"/>
    <col customWidth="1" min="10" max="12" width="11.75"/>
    <col customWidth="1" min="13" max="25" width="14.38"/>
  </cols>
  <sheetData>
    <row r="1" ht="12.75" customHeight="1">
      <c r="A1" s="10" t="s">
        <v>208</v>
      </c>
      <c r="B1" s="10"/>
      <c r="C1" s="10"/>
      <c r="D1" s="10"/>
      <c r="E1" s="10"/>
      <c r="F1" s="10"/>
      <c r="G1" s="139" t="s">
        <v>209</v>
      </c>
      <c r="H1" s="10"/>
      <c r="I1" s="10"/>
      <c r="J1" s="10"/>
      <c r="K1" s="4"/>
      <c r="L1" s="4"/>
    </row>
    <row r="2" ht="12.75" customHeight="1">
      <c r="A2" s="6" t="s">
        <v>210</v>
      </c>
      <c r="B2" s="125" t="s">
        <v>211</v>
      </c>
      <c r="C2" s="6"/>
      <c r="D2" s="125" t="s">
        <v>212</v>
      </c>
      <c r="E2" s="6"/>
      <c r="F2" s="125" t="s">
        <v>213</v>
      </c>
      <c r="G2" s="6"/>
      <c r="H2" s="125" t="s">
        <v>214</v>
      </c>
      <c r="I2" s="6"/>
      <c r="J2" s="125" t="s">
        <v>215</v>
      </c>
      <c r="K2" s="6"/>
      <c r="L2" s="6"/>
    </row>
    <row r="3" ht="12.75" customHeight="1">
      <c r="A3" s="6" t="s">
        <v>216</v>
      </c>
      <c r="B3" s="125" t="s">
        <v>217</v>
      </c>
      <c r="C3" s="6"/>
      <c r="D3" s="125" t="s">
        <v>217</v>
      </c>
      <c r="E3" s="6"/>
      <c r="F3" s="125" t="s">
        <v>218</v>
      </c>
      <c r="G3" s="6"/>
      <c r="H3" s="125" t="s">
        <v>219</v>
      </c>
      <c r="I3" s="6"/>
      <c r="J3" s="125"/>
      <c r="K3" s="6"/>
      <c r="L3" s="6"/>
    </row>
    <row r="4" ht="12.75" customHeight="1">
      <c r="A4" s="6"/>
      <c r="B4" s="125" t="s">
        <v>220</v>
      </c>
      <c r="C4" s="6"/>
      <c r="D4" s="125" t="s">
        <v>221</v>
      </c>
      <c r="E4" s="6"/>
      <c r="F4" s="125" t="s">
        <v>222</v>
      </c>
      <c r="G4" s="6"/>
      <c r="H4" s="125" t="s">
        <v>223</v>
      </c>
      <c r="I4" s="6"/>
      <c r="J4" s="125"/>
      <c r="K4" s="6"/>
      <c r="L4" s="6"/>
    </row>
    <row r="5" ht="12.75" customHeight="1">
      <c r="A5" s="6"/>
      <c r="B5" s="125" t="s">
        <v>224</v>
      </c>
      <c r="C5" s="6"/>
      <c r="D5" s="125" t="s">
        <v>225</v>
      </c>
      <c r="E5" s="6"/>
      <c r="F5" s="125"/>
      <c r="G5" s="6"/>
      <c r="H5" s="125"/>
      <c r="I5" s="6"/>
      <c r="J5" s="125"/>
      <c r="K5" s="6"/>
      <c r="L5" s="6"/>
    </row>
    <row r="6" ht="12.75" customHeight="1">
      <c r="A6" s="6"/>
      <c r="B6" s="125"/>
      <c r="C6" s="6"/>
      <c r="D6" s="125"/>
      <c r="E6" s="6"/>
      <c r="F6" s="125"/>
      <c r="G6" s="6"/>
      <c r="H6" s="125"/>
      <c r="I6" s="6"/>
      <c r="J6" s="125"/>
      <c r="K6" s="6"/>
      <c r="L6" s="6"/>
    </row>
    <row r="7" ht="12.75" customHeight="1">
      <c r="A7" s="4" t="s">
        <v>226</v>
      </c>
      <c r="B7" s="138" t="s">
        <v>227</v>
      </c>
      <c r="C7" s="1"/>
      <c r="D7" s="140" t="s">
        <v>228</v>
      </c>
      <c r="E7" s="1"/>
      <c r="F7" s="140" t="s">
        <v>229</v>
      </c>
      <c r="G7" s="1"/>
      <c r="H7" s="140" t="s">
        <v>230</v>
      </c>
      <c r="I7" s="1"/>
      <c r="J7" s="138"/>
      <c r="K7" s="1"/>
      <c r="L7" s="1"/>
      <c r="N7" s="141"/>
      <c r="O7" s="141"/>
    </row>
    <row r="8" ht="12.75" customHeight="1">
      <c r="A8" s="1" t="s">
        <v>231</v>
      </c>
      <c r="B8" s="142">
        <v>3378.19</v>
      </c>
      <c r="C8" s="1"/>
      <c r="D8" s="138">
        <f t="shared" ref="D8:D18" si="1">9/36*B8</f>
        <v>844.5475</v>
      </c>
      <c r="E8" s="1"/>
      <c r="F8" s="140">
        <f t="shared" ref="F8:F18" si="2">(12*D8)/52</f>
        <v>194.8955769</v>
      </c>
      <c r="G8" s="1"/>
      <c r="H8" s="138">
        <f t="shared" ref="H8:H18" si="3">F8/100</f>
        <v>1.948955769</v>
      </c>
      <c r="I8" s="1"/>
      <c r="J8" s="138"/>
      <c r="K8" s="1"/>
      <c r="L8" s="143"/>
      <c r="N8" s="144"/>
      <c r="O8" s="145"/>
    </row>
    <row r="9" ht="12.75" customHeight="1">
      <c r="A9" s="1" t="s">
        <v>232</v>
      </c>
      <c r="B9" s="142">
        <v>3667.62</v>
      </c>
      <c r="C9" s="1"/>
      <c r="D9" s="138">
        <f t="shared" si="1"/>
        <v>916.905</v>
      </c>
      <c r="E9" s="1"/>
      <c r="F9" s="140">
        <f t="shared" si="2"/>
        <v>211.5934615</v>
      </c>
      <c r="G9" s="1"/>
      <c r="H9" s="138">
        <f t="shared" si="3"/>
        <v>2.115934615</v>
      </c>
      <c r="I9" s="1"/>
      <c r="J9" s="138"/>
      <c r="K9" s="1"/>
      <c r="L9" s="143"/>
      <c r="N9" s="144"/>
      <c r="O9" s="145"/>
    </row>
    <row r="10" ht="12.75" customHeight="1">
      <c r="A10" s="1" t="s">
        <v>233</v>
      </c>
      <c r="B10" s="142">
        <v>3841.04</v>
      </c>
      <c r="C10" s="1"/>
      <c r="D10" s="138">
        <f t="shared" si="1"/>
        <v>960.26</v>
      </c>
      <c r="E10" s="1"/>
      <c r="F10" s="140">
        <f t="shared" si="2"/>
        <v>221.5984615</v>
      </c>
      <c r="G10" s="1"/>
      <c r="H10" s="138">
        <f t="shared" si="3"/>
        <v>2.215984615</v>
      </c>
      <c r="I10" s="1"/>
      <c r="J10" s="138"/>
      <c r="K10" s="1"/>
      <c r="L10" s="143"/>
      <c r="N10" s="144"/>
      <c r="O10" s="145"/>
    </row>
    <row r="11" ht="12.75" customHeight="1">
      <c r="A11" s="1" t="s">
        <v>234</v>
      </c>
      <c r="B11" s="142">
        <v>4009.67</v>
      </c>
      <c r="C11" s="1"/>
      <c r="D11" s="138">
        <f t="shared" si="1"/>
        <v>1002.4175</v>
      </c>
      <c r="E11" s="1"/>
      <c r="F11" s="140">
        <f t="shared" si="2"/>
        <v>231.3271154</v>
      </c>
      <c r="G11" s="1"/>
      <c r="H11" s="138">
        <f t="shared" si="3"/>
        <v>2.313271154</v>
      </c>
      <c r="I11" s="1"/>
      <c r="J11" s="138"/>
      <c r="K11" s="1"/>
      <c r="L11" s="143"/>
      <c r="N11" s="144"/>
      <c r="O11" s="145"/>
    </row>
    <row r="12" ht="12.75" customHeight="1">
      <c r="A12" s="1" t="s">
        <v>235</v>
      </c>
      <c r="B12" s="142">
        <v>4186.67</v>
      </c>
      <c r="C12" s="1"/>
      <c r="D12" s="138">
        <f t="shared" si="1"/>
        <v>1046.6675</v>
      </c>
      <c r="E12" s="1"/>
      <c r="F12" s="140">
        <f t="shared" si="2"/>
        <v>241.5386538</v>
      </c>
      <c r="G12" s="1"/>
      <c r="H12" s="138">
        <f t="shared" si="3"/>
        <v>2.415386538</v>
      </c>
      <c r="I12" s="1"/>
      <c r="J12" s="138" t="s">
        <v>236</v>
      </c>
      <c r="K12" s="1"/>
      <c r="L12" s="143"/>
      <c r="N12" s="144"/>
      <c r="O12" s="145"/>
    </row>
    <row r="13" ht="12.75" customHeight="1">
      <c r="A13" s="1" t="s">
        <v>237</v>
      </c>
      <c r="B13" s="142">
        <v>4395.97</v>
      </c>
      <c r="C13" s="1"/>
      <c r="D13" s="138">
        <f t="shared" si="1"/>
        <v>1098.9925</v>
      </c>
      <c r="E13" s="1"/>
      <c r="F13" s="140">
        <f t="shared" si="2"/>
        <v>253.6136538</v>
      </c>
      <c r="G13" s="1"/>
      <c r="H13" s="138">
        <f t="shared" si="3"/>
        <v>2.536136538</v>
      </c>
      <c r="I13" s="1"/>
      <c r="J13" s="138">
        <f>SUM(H8:H18)/11*30</f>
        <v>76.06353147</v>
      </c>
      <c r="K13" s="1"/>
      <c r="L13" s="143"/>
      <c r="N13" s="144"/>
      <c r="O13" s="145"/>
    </row>
    <row r="14" ht="12.75" customHeight="1">
      <c r="A14" s="1" t="s">
        <v>238</v>
      </c>
      <c r="B14" s="142">
        <v>4576.57</v>
      </c>
      <c r="C14" s="1"/>
      <c r="D14" s="138">
        <f t="shared" si="1"/>
        <v>1144.1425</v>
      </c>
      <c r="E14" s="1"/>
      <c r="F14" s="140">
        <f t="shared" si="2"/>
        <v>264.0328846</v>
      </c>
      <c r="G14" s="1"/>
      <c r="H14" s="138">
        <f t="shared" si="3"/>
        <v>2.640328846</v>
      </c>
      <c r="I14" s="1"/>
      <c r="J14" s="138"/>
      <c r="K14" s="1"/>
      <c r="L14" s="143"/>
      <c r="N14" s="144"/>
      <c r="O14" s="145"/>
    </row>
    <row r="15" ht="12.75" customHeight="1">
      <c r="A15" s="1" t="s">
        <v>239</v>
      </c>
      <c r="B15" s="142">
        <v>4739.23</v>
      </c>
      <c r="C15" s="1"/>
      <c r="D15" s="138">
        <f t="shared" si="1"/>
        <v>1184.8075</v>
      </c>
      <c r="E15" s="1"/>
      <c r="F15" s="140">
        <f t="shared" si="2"/>
        <v>273.4171154</v>
      </c>
      <c r="G15" s="1"/>
      <c r="H15" s="138">
        <f t="shared" si="3"/>
        <v>2.734171154</v>
      </c>
      <c r="I15" s="1"/>
      <c r="J15" s="138" t="s">
        <v>240</v>
      </c>
      <c r="K15" s="1"/>
      <c r="L15" s="143"/>
      <c r="N15" s="144"/>
      <c r="O15" s="145"/>
    </row>
    <row r="16" ht="12.75" customHeight="1">
      <c r="A16" s="1" t="s">
        <v>241</v>
      </c>
      <c r="B16" s="142">
        <v>4955.71</v>
      </c>
      <c r="C16" s="1"/>
      <c r="D16" s="138">
        <f t="shared" si="1"/>
        <v>1238.9275</v>
      </c>
      <c r="E16" s="1"/>
      <c r="F16" s="140">
        <f t="shared" si="2"/>
        <v>285.9063462</v>
      </c>
      <c r="G16" s="1"/>
      <c r="H16" s="138">
        <f t="shared" si="3"/>
        <v>2.859063462</v>
      </c>
      <c r="I16" s="1"/>
      <c r="J16" s="138">
        <f>SUM(H8:H18)/11*40</f>
        <v>101.418042</v>
      </c>
      <c r="K16" s="1"/>
      <c r="L16" s="143"/>
      <c r="N16" s="144"/>
      <c r="O16" s="145"/>
    </row>
    <row r="17" ht="12.75" customHeight="1">
      <c r="A17" s="1" t="s">
        <v>242</v>
      </c>
      <c r="B17" s="142">
        <v>5181.75</v>
      </c>
      <c r="C17" s="1"/>
      <c r="D17" s="138">
        <f t="shared" si="1"/>
        <v>1295.4375</v>
      </c>
      <c r="E17" s="1"/>
      <c r="F17" s="140">
        <f t="shared" si="2"/>
        <v>298.9471154</v>
      </c>
      <c r="G17" s="1"/>
      <c r="H17" s="138">
        <f t="shared" si="3"/>
        <v>2.989471154</v>
      </c>
      <c r="I17" s="1"/>
      <c r="J17" s="138"/>
      <c r="K17" s="1"/>
      <c r="L17" s="143"/>
      <c r="N17" s="144"/>
      <c r="O17" s="145"/>
    </row>
    <row r="18" ht="12.75" customHeight="1">
      <c r="A18" s="1" t="s">
        <v>243</v>
      </c>
      <c r="B18" s="142">
        <v>5410.18</v>
      </c>
      <c r="C18" s="1"/>
      <c r="D18" s="138">
        <f t="shared" si="1"/>
        <v>1352.545</v>
      </c>
      <c r="E18" s="1"/>
      <c r="F18" s="140">
        <f t="shared" si="2"/>
        <v>312.1257692</v>
      </c>
      <c r="G18" s="1"/>
      <c r="H18" s="138">
        <f t="shared" si="3"/>
        <v>3.121257692</v>
      </c>
      <c r="I18" s="1"/>
      <c r="J18" s="138"/>
      <c r="K18" s="1"/>
      <c r="L18" s="143"/>
      <c r="N18" s="144"/>
      <c r="O18" s="145"/>
    </row>
    <row r="19" ht="12.75" customHeight="1">
      <c r="A19" s="4"/>
      <c r="B19" s="138"/>
      <c r="C19" s="1"/>
      <c r="D19" s="138"/>
      <c r="E19" s="1"/>
      <c r="F19" s="140"/>
      <c r="G19" s="1"/>
      <c r="H19" s="138"/>
      <c r="I19" s="1"/>
      <c r="J19" s="138"/>
      <c r="K19" s="1"/>
      <c r="L19" s="143"/>
      <c r="N19" s="141"/>
    </row>
    <row r="20" ht="12.75" customHeight="1">
      <c r="A20" s="4" t="s">
        <v>244</v>
      </c>
      <c r="B20" s="138" t="s">
        <v>227</v>
      </c>
      <c r="C20" s="1"/>
      <c r="D20" s="138" t="s">
        <v>228</v>
      </c>
      <c r="E20" s="1"/>
      <c r="F20" s="140" t="s">
        <v>229</v>
      </c>
      <c r="G20" s="1"/>
      <c r="H20" s="140" t="s">
        <v>230</v>
      </c>
      <c r="I20" s="1"/>
      <c r="J20" s="138"/>
      <c r="K20" s="1"/>
      <c r="L20" s="143"/>
      <c r="N20" s="141"/>
      <c r="O20" s="141"/>
    </row>
    <row r="21" ht="12.75" customHeight="1">
      <c r="A21" s="1" t="s">
        <v>245</v>
      </c>
      <c r="B21" s="142">
        <v>2835.19</v>
      </c>
      <c r="C21" s="1"/>
      <c r="D21" s="138">
        <f t="shared" ref="D21:D31" si="4">9/36*B21</f>
        <v>708.7975</v>
      </c>
      <c r="E21" s="1"/>
      <c r="F21" s="140">
        <f t="shared" ref="F21:F31" si="5">(12*D21)/52</f>
        <v>163.5686538</v>
      </c>
      <c r="G21" s="1"/>
      <c r="H21" s="138">
        <f t="shared" ref="H21:H31" si="6">F21/100</f>
        <v>1.635686538</v>
      </c>
      <c r="I21" s="1"/>
      <c r="J21" s="138"/>
      <c r="K21" s="1"/>
      <c r="L21" s="143"/>
      <c r="N21" s="144"/>
      <c r="O21" s="145"/>
    </row>
    <row r="22" ht="12.75" customHeight="1">
      <c r="A22" s="1" t="s">
        <v>246</v>
      </c>
      <c r="B22" s="142">
        <v>2976.32</v>
      </c>
      <c r="C22" s="1"/>
      <c r="D22" s="138">
        <f t="shared" si="4"/>
        <v>744.08</v>
      </c>
      <c r="E22" s="1"/>
      <c r="F22" s="140">
        <f t="shared" si="5"/>
        <v>171.7107692</v>
      </c>
      <c r="G22" s="1"/>
      <c r="H22" s="138">
        <f t="shared" si="6"/>
        <v>1.717107692</v>
      </c>
      <c r="I22" s="1"/>
      <c r="J22" s="138"/>
      <c r="K22" s="1"/>
      <c r="L22" s="143"/>
      <c r="N22" s="144"/>
      <c r="O22" s="145"/>
    </row>
    <row r="23" ht="12.75" customHeight="1">
      <c r="A23" s="1" t="s">
        <v>247</v>
      </c>
      <c r="B23" s="142">
        <v>3146.16</v>
      </c>
      <c r="C23" s="1"/>
      <c r="D23" s="138">
        <f t="shared" si="4"/>
        <v>786.54</v>
      </c>
      <c r="E23" s="1"/>
      <c r="F23" s="140">
        <f t="shared" si="5"/>
        <v>181.5092308</v>
      </c>
      <c r="G23" s="1"/>
      <c r="H23" s="138">
        <f t="shared" si="6"/>
        <v>1.815092308</v>
      </c>
      <c r="I23" s="1"/>
      <c r="J23" s="138"/>
      <c r="K23" s="1"/>
      <c r="L23" s="143"/>
      <c r="N23" s="144"/>
      <c r="O23" s="145"/>
    </row>
    <row r="24" ht="12.75" customHeight="1">
      <c r="A24" s="1" t="s">
        <v>248</v>
      </c>
      <c r="B24" s="142">
        <v>3378.19</v>
      </c>
      <c r="C24" s="1"/>
      <c r="D24" s="138">
        <f t="shared" si="4"/>
        <v>844.5475</v>
      </c>
      <c r="E24" s="1"/>
      <c r="F24" s="140">
        <f t="shared" si="5"/>
        <v>194.8955769</v>
      </c>
      <c r="G24" s="1"/>
      <c r="H24" s="138">
        <f t="shared" si="6"/>
        <v>1.948955769</v>
      </c>
      <c r="I24" s="1"/>
      <c r="J24" s="138"/>
      <c r="K24" s="1"/>
      <c r="L24" s="143"/>
      <c r="N24" s="144"/>
      <c r="O24" s="145"/>
    </row>
    <row r="25" ht="12.75" customHeight="1">
      <c r="A25" s="1" t="s">
        <v>249</v>
      </c>
      <c r="B25" s="142">
        <v>3667.62</v>
      </c>
      <c r="C25" s="1"/>
      <c r="D25" s="138">
        <f t="shared" si="4"/>
        <v>916.905</v>
      </c>
      <c r="E25" s="1"/>
      <c r="F25" s="140">
        <f t="shared" si="5"/>
        <v>211.5934615</v>
      </c>
      <c r="G25" s="1"/>
      <c r="H25" s="138">
        <f t="shared" si="6"/>
        <v>2.115934615</v>
      </c>
      <c r="I25" s="1"/>
      <c r="J25" s="138" t="s">
        <v>236</v>
      </c>
      <c r="K25" s="1"/>
      <c r="L25" s="143"/>
      <c r="N25" s="144"/>
      <c r="O25" s="145"/>
    </row>
    <row r="26" ht="12.75" customHeight="1">
      <c r="A26" s="1" t="s">
        <v>250</v>
      </c>
      <c r="B26" s="142">
        <v>3841.04</v>
      </c>
      <c r="C26" s="1"/>
      <c r="D26" s="138">
        <f t="shared" si="4"/>
        <v>960.26</v>
      </c>
      <c r="E26" s="1"/>
      <c r="F26" s="140">
        <f t="shared" si="5"/>
        <v>221.5984615</v>
      </c>
      <c r="G26" s="1"/>
      <c r="H26" s="138">
        <f t="shared" si="6"/>
        <v>2.215984615</v>
      </c>
      <c r="I26" s="1"/>
      <c r="J26" s="138">
        <f>SUM(H21:H31)/11*30</f>
        <v>65.69469755</v>
      </c>
      <c r="K26" s="1"/>
      <c r="L26" s="143"/>
      <c r="N26" s="144"/>
      <c r="O26" s="145"/>
    </row>
    <row r="27" ht="12.75" customHeight="1">
      <c r="A27" s="1" t="s">
        <v>251</v>
      </c>
      <c r="B27" s="142">
        <v>4009.67</v>
      </c>
      <c r="C27" s="1"/>
      <c r="D27" s="138">
        <f t="shared" si="4"/>
        <v>1002.4175</v>
      </c>
      <c r="E27" s="1"/>
      <c r="F27" s="140">
        <f t="shared" si="5"/>
        <v>231.3271154</v>
      </c>
      <c r="G27" s="1"/>
      <c r="H27" s="138">
        <f t="shared" si="6"/>
        <v>2.313271154</v>
      </c>
      <c r="I27" s="1"/>
      <c r="J27" s="138"/>
      <c r="K27" s="1"/>
      <c r="L27" s="143"/>
      <c r="N27" s="144"/>
      <c r="O27" s="145"/>
    </row>
    <row r="28" ht="12.75" customHeight="1">
      <c r="A28" s="1" t="s">
        <v>252</v>
      </c>
      <c r="B28" s="142">
        <v>4186.67</v>
      </c>
      <c r="C28" s="1"/>
      <c r="D28" s="138">
        <f t="shared" si="4"/>
        <v>1046.6675</v>
      </c>
      <c r="E28" s="1"/>
      <c r="F28" s="140">
        <f t="shared" si="5"/>
        <v>241.5386538</v>
      </c>
      <c r="G28" s="1"/>
      <c r="H28" s="138">
        <f t="shared" si="6"/>
        <v>2.415386538</v>
      </c>
      <c r="I28" s="1"/>
      <c r="J28" s="138" t="s">
        <v>240</v>
      </c>
      <c r="K28" s="1"/>
      <c r="L28" s="143"/>
      <c r="N28" s="144"/>
      <c r="O28" s="145"/>
    </row>
    <row r="29" ht="12.75" customHeight="1">
      <c r="A29" s="1" t="s">
        <v>253</v>
      </c>
      <c r="B29" s="142">
        <v>4395.97</v>
      </c>
      <c r="C29" s="1"/>
      <c r="D29" s="138">
        <f t="shared" si="4"/>
        <v>1098.9925</v>
      </c>
      <c r="E29" s="1"/>
      <c r="F29" s="140">
        <f t="shared" si="5"/>
        <v>253.6136538</v>
      </c>
      <c r="G29" s="1"/>
      <c r="H29" s="138">
        <f t="shared" si="6"/>
        <v>2.536136538</v>
      </c>
      <c r="I29" s="1"/>
      <c r="J29" s="138">
        <f>SUM(H21:H31)/11*40</f>
        <v>87.59293007</v>
      </c>
      <c r="K29" s="1"/>
      <c r="L29" s="143"/>
      <c r="N29" s="144"/>
      <c r="O29" s="145"/>
    </row>
    <row r="30" ht="12.75" customHeight="1">
      <c r="A30" s="1" t="s">
        <v>254</v>
      </c>
      <c r="B30" s="142">
        <v>4576.57</v>
      </c>
      <c r="C30" s="1"/>
      <c r="D30" s="138">
        <f t="shared" si="4"/>
        <v>1144.1425</v>
      </c>
      <c r="E30" s="1"/>
      <c r="F30" s="140">
        <f t="shared" si="5"/>
        <v>264.0328846</v>
      </c>
      <c r="G30" s="1"/>
      <c r="H30" s="138">
        <f t="shared" si="6"/>
        <v>2.640328846</v>
      </c>
      <c r="I30" s="1"/>
      <c r="J30" s="138"/>
      <c r="K30" s="1"/>
      <c r="L30" s="143"/>
      <c r="N30" s="144"/>
      <c r="O30" s="145"/>
    </row>
    <row r="31" ht="12.75" customHeight="1">
      <c r="A31" s="1" t="s">
        <v>255</v>
      </c>
      <c r="B31" s="142">
        <v>4739.23</v>
      </c>
      <c r="C31" s="1"/>
      <c r="D31" s="138">
        <f t="shared" si="4"/>
        <v>1184.8075</v>
      </c>
      <c r="E31" s="1"/>
      <c r="F31" s="140">
        <f t="shared" si="5"/>
        <v>273.4171154</v>
      </c>
      <c r="G31" s="1"/>
      <c r="H31" s="138">
        <f t="shared" si="6"/>
        <v>2.734171154</v>
      </c>
      <c r="I31" s="1"/>
      <c r="J31" s="138"/>
      <c r="K31" s="1"/>
      <c r="L31" s="143"/>
      <c r="N31" s="144"/>
      <c r="O31" s="145"/>
    </row>
    <row r="32" ht="12.75" customHeight="1">
      <c r="A32" s="1"/>
      <c r="B32" s="138"/>
      <c r="C32" s="1"/>
      <c r="D32" s="138"/>
      <c r="E32" s="1"/>
      <c r="F32" s="140"/>
      <c r="G32" s="1"/>
      <c r="H32" s="138"/>
      <c r="I32" s="1"/>
      <c r="J32" s="138"/>
      <c r="K32" s="1"/>
      <c r="L32" s="143"/>
      <c r="N32" s="141"/>
    </row>
    <row r="33" ht="12.75" customHeight="1">
      <c r="A33" s="4" t="s">
        <v>256</v>
      </c>
      <c r="B33" s="138" t="s">
        <v>227</v>
      </c>
      <c r="C33" s="1"/>
      <c r="D33" s="138" t="s">
        <v>228</v>
      </c>
      <c r="E33" s="1"/>
      <c r="F33" s="140" t="s">
        <v>229</v>
      </c>
      <c r="G33" s="1"/>
      <c r="H33" s="140" t="s">
        <v>230</v>
      </c>
      <c r="I33" s="1"/>
      <c r="J33" s="138"/>
      <c r="K33" s="1"/>
      <c r="L33" s="143"/>
      <c r="N33" s="141"/>
      <c r="O33" s="141"/>
    </row>
    <row r="34" ht="12.75" customHeight="1">
      <c r="A34" s="1" t="s">
        <v>257</v>
      </c>
      <c r="B34" s="142">
        <v>2267.09</v>
      </c>
      <c r="C34" s="1"/>
      <c r="D34" s="138">
        <f t="shared" ref="D34:D44" si="7">7/36*B34</f>
        <v>440.8230556</v>
      </c>
      <c r="E34" s="1"/>
      <c r="F34" s="140">
        <f t="shared" ref="F34:F44" si="8">(12*D34)/52</f>
        <v>101.7283974</v>
      </c>
      <c r="G34" s="1"/>
      <c r="H34" s="138">
        <f t="shared" ref="H34:H44" si="9">F34/100</f>
        <v>1.017283974</v>
      </c>
      <c r="I34" s="1"/>
      <c r="J34" s="138"/>
      <c r="K34" s="1"/>
      <c r="L34" s="143"/>
      <c r="N34" s="144"/>
      <c r="O34" s="145"/>
    </row>
    <row r="35" ht="12.75" customHeight="1">
      <c r="A35" s="1" t="s">
        <v>258</v>
      </c>
      <c r="B35" s="142">
        <v>2336.47</v>
      </c>
      <c r="C35" s="1"/>
      <c r="D35" s="138">
        <f t="shared" si="7"/>
        <v>454.3136111</v>
      </c>
      <c r="E35" s="1"/>
      <c r="F35" s="140">
        <f t="shared" si="8"/>
        <v>104.8416026</v>
      </c>
      <c r="G35" s="1"/>
      <c r="H35" s="138">
        <f t="shared" si="9"/>
        <v>1.048416026</v>
      </c>
      <c r="I35" s="1"/>
      <c r="J35" s="138"/>
      <c r="K35" s="1"/>
      <c r="L35" s="143"/>
      <c r="N35" s="144"/>
      <c r="O35" s="145"/>
    </row>
    <row r="36" ht="12.75" customHeight="1">
      <c r="A36" s="1" t="s">
        <v>259</v>
      </c>
      <c r="B36" s="142">
        <v>2405.83</v>
      </c>
      <c r="C36" s="1"/>
      <c r="D36" s="138">
        <f t="shared" si="7"/>
        <v>467.8002778</v>
      </c>
      <c r="E36" s="1"/>
      <c r="F36" s="140">
        <f t="shared" si="8"/>
        <v>107.9539103</v>
      </c>
      <c r="G36" s="1"/>
      <c r="H36" s="138">
        <f t="shared" si="9"/>
        <v>1.079539103</v>
      </c>
      <c r="I36" s="1"/>
      <c r="J36" s="138"/>
      <c r="K36" s="1"/>
      <c r="L36" s="143"/>
      <c r="N36" s="144"/>
      <c r="O36" s="145"/>
    </row>
    <row r="37" ht="12.75" customHeight="1">
      <c r="A37" s="1" t="s">
        <v>260</v>
      </c>
      <c r="B37" s="142">
        <v>2477.58</v>
      </c>
      <c r="C37" s="1"/>
      <c r="D37" s="138">
        <f t="shared" si="7"/>
        <v>481.7516667</v>
      </c>
      <c r="E37" s="1"/>
      <c r="F37" s="140">
        <f t="shared" si="8"/>
        <v>111.1734615</v>
      </c>
      <c r="G37" s="1"/>
      <c r="H37" s="138">
        <f t="shared" si="9"/>
        <v>1.111734615</v>
      </c>
      <c r="I37" s="1"/>
      <c r="J37" s="138"/>
      <c r="K37" s="1"/>
      <c r="L37" s="143"/>
      <c r="N37" s="144"/>
      <c r="O37" s="145"/>
    </row>
    <row r="38" ht="12.75" customHeight="1">
      <c r="A38" s="1" t="s">
        <v>261</v>
      </c>
      <c r="B38" s="142">
        <v>2550.55</v>
      </c>
      <c r="C38" s="1"/>
      <c r="D38" s="138">
        <f t="shared" si="7"/>
        <v>495.9402778</v>
      </c>
      <c r="E38" s="1"/>
      <c r="F38" s="140">
        <f t="shared" si="8"/>
        <v>114.4477564</v>
      </c>
      <c r="G38" s="1"/>
      <c r="H38" s="138">
        <f t="shared" si="9"/>
        <v>1.144477564</v>
      </c>
      <c r="I38" s="1"/>
      <c r="J38" s="138" t="s">
        <v>236</v>
      </c>
      <c r="K38" s="1"/>
      <c r="L38" s="143"/>
      <c r="N38" s="144"/>
      <c r="O38" s="145"/>
    </row>
    <row r="39" ht="12.75" customHeight="1">
      <c r="A39" s="1" t="s">
        <v>262</v>
      </c>
      <c r="B39" s="142">
        <v>2619.91</v>
      </c>
      <c r="C39" s="1"/>
      <c r="D39" s="138">
        <f t="shared" si="7"/>
        <v>509.4269444</v>
      </c>
      <c r="E39" s="1"/>
      <c r="F39" s="140">
        <f t="shared" si="8"/>
        <v>117.5600641</v>
      </c>
      <c r="G39" s="1"/>
      <c r="H39" s="138">
        <f t="shared" si="9"/>
        <v>1.175600641</v>
      </c>
      <c r="I39" s="1"/>
      <c r="J39" s="138">
        <f>9/7*SUM(H34:H44)/11*30</f>
        <v>45.36162063</v>
      </c>
      <c r="K39" s="1"/>
      <c r="L39" s="143"/>
      <c r="N39" s="144"/>
      <c r="O39" s="145"/>
    </row>
    <row r="40" ht="12.75" customHeight="1">
      <c r="A40" s="1" t="s">
        <v>263</v>
      </c>
      <c r="B40" s="142">
        <v>2690.5</v>
      </c>
      <c r="C40" s="1"/>
      <c r="D40" s="138">
        <f t="shared" si="7"/>
        <v>523.1527778</v>
      </c>
      <c r="E40" s="1"/>
      <c r="F40" s="140">
        <f t="shared" si="8"/>
        <v>120.7275641</v>
      </c>
      <c r="G40" s="1"/>
      <c r="H40" s="138">
        <f t="shared" si="9"/>
        <v>1.207275641</v>
      </c>
      <c r="I40" s="1"/>
      <c r="J40" s="138"/>
      <c r="K40" s="1"/>
      <c r="L40" s="143"/>
      <c r="N40" s="144"/>
      <c r="O40" s="145"/>
    </row>
    <row r="41" ht="12.75" customHeight="1">
      <c r="A41" s="1" t="s">
        <v>264</v>
      </c>
      <c r="B41" s="142">
        <v>2764.63</v>
      </c>
      <c r="C41" s="1"/>
      <c r="D41" s="138">
        <f t="shared" si="7"/>
        <v>537.5669444</v>
      </c>
      <c r="E41" s="1"/>
      <c r="F41" s="140">
        <f t="shared" si="8"/>
        <v>124.0539103</v>
      </c>
      <c r="G41" s="1"/>
      <c r="H41" s="138">
        <f t="shared" si="9"/>
        <v>1.240539103</v>
      </c>
      <c r="I41" s="1"/>
      <c r="J41" s="138" t="s">
        <v>240</v>
      </c>
      <c r="K41" s="1"/>
      <c r="L41" s="143"/>
      <c r="N41" s="144"/>
      <c r="O41" s="145"/>
    </row>
    <row r="42" ht="12.75" customHeight="1">
      <c r="A42" s="1" t="s">
        <v>265</v>
      </c>
      <c r="B42" s="142">
        <v>2835.19</v>
      </c>
      <c r="C42" s="1"/>
      <c r="D42" s="138">
        <f t="shared" si="7"/>
        <v>551.2869444</v>
      </c>
      <c r="E42" s="1"/>
      <c r="F42" s="140">
        <f t="shared" si="8"/>
        <v>127.2200641</v>
      </c>
      <c r="G42" s="1"/>
      <c r="H42" s="138">
        <f t="shared" si="9"/>
        <v>1.272200641</v>
      </c>
      <c r="I42" s="1"/>
      <c r="J42" s="138">
        <f>9/7*SUM(H34:H44)/11*40</f>
        <v>60.48216084</v>
      </c>
      <c r="K42" s="1"/>
      <c r="L42" s="143"/>
      <c r="N42" s="144"/>
      <c r="O42" s="145"/>
    </row>
    <row r="43" ht="12.75" customHeight="1">
      <c r="A43" s="1" t="s">
        <v>266</v>
      </c>
      <c r="B43" s="142">
        <v>2905.76</v>
      </c>
      <c r="C43" s="1"/>
      <c r="D43" s="138">
        <f t="shared" si="7"/>
        <v>565.0088889</v>
      </c>
      <c r="E43" s="1"/>
      <c r="F43" s="140">
        <f t="shared" si="8"/>
        <v>130.3866667</v>
      </c>
      <c r="G43" s="1"/>
      <c r="H43" s="138">
        <f t="shared" si="9"/>
        <v>1.303866667</v>
      </c>
      <c r="I43" s="1"/>
      <c r="J43" s="138"/>
      <c r="K43" s="1"/>
      <c r="L43" s="143"/>
      <c r="N43" s="144"/>
      <c r="O43" s="145"/>
    </row>
    <row r="44" ht="12.75" customHeight="1">
      <c r="A44" s="1" t="s">
        <v>267</v>
      </c>
      <c r="B44" s="142">
        <v>2976.32</v>
      </c>
      <c r="C44" s="1"/>
      <c r="D44" s="138">
        <f t="shared" si="7"/>
        <v>578.7288889</v>
      </c>
      <c r="E44" s="1"/>
      <c r="F44" s="140">
        <f t="shared" si="8"/>
        <v>133.5528205</v>
      </c>
      <c r="G44" s="1"/>
      <c r="H44" s="138">
        <f t="shared" si="9"/>
        <v>1.335528205</v>
      </c>
      <c r="I44" s="1"/>
      <c r="J44" s="138"/>
      <c r="K44" s="1"/>
      <c r="L44" s="143"/>
      <c r="N44" s="144"/>
      <c r="O44" s="145"/>
    </row>
    <row r="45" ht="12.75" customHeight="1">
      <c r="A45" s="1" t="s">
        <v>268</v>
      </c>
      <c r="B45" s="138"/>
      <c r="C45" s="1"/>
      <c r="D45" s="138"/>
      <c r="E45" s="1"/>
      <c r="F45" s="140"/>
      <c r="G45" s="1"/>
      <c r="H45" s="138"/>
      <c r="I45" s="1"/>
      <c r="J45" s="138"/>
      <c r="K45" s="1"/>
      <c r="L45" s="1"/>
    </row>
    <row r="46" ht="12.75" customHeight="1">
      <c r="A46" s="1"/>
      <c r="B46" s="138"/>
      <c r="C46" s="1"/>
      <c r="D46" s="138"/>
      <c r="E46" s="1"/>
      <c r="F46" s="140"/>
      <c r="G46" s="1"/>
      <c r="H46" s="138"/>
      <c r="I46" s="1"/>
      <c r="J46" s="138"/>
      <c r="K46" s="1"/>
      <c r="L46" s="1"/>
    </row>
    <row r="47" ht="12.75" customHeight="1">
      <c r="A47" s="4" t="s">
        <v>269</v>
      </c>
      <c r="B47" s="138"/>
      <c r="C47" s="1"/>
      <c r="D47" s="138"/>
      <c r="E47" s="1"/>
      <c r="F47" s="140"/>
      <c r="G47" s="1"/>
      <c r="H47" s="138"/>
      <c r="I47" s="1"/>
      <c r="J47" s="138"/>
      <c r="K47" s="1"/>
      <c r="L47" s="1"/>
    </row>
    <row r="48" ht="12.75" customHeight="1">
      <c r="A48" s="1" t="s">
        <v>270</v>
      </c>
      <c r="B48" s="138"/>
      <c r="C48" s="1"/>
      <c r="D48" s="138"/>
      <c r="E48" s="1"/>
      <c r="F48" s="140"/>
      <c r="G48" s="1"/>
      <c r="H48" s="138"/>
      <c r="I48" s="1"/>
      <c r="J48" s="138"/>
      <c r="K48" s="1"/>
      <c r="L48" s="1"/>
    </row>
    <row r="49" ht="12.75" customHeight="1">
      <c r="A49" s="1" t="s">
        <v>271</v>
      </c>
      <c r="B49" s="138"/>
      <c r="C49" s="1"/>
      <c r="D49" s="138"/>
      <c r="E49" s="1"/>
      <c r="F49" s="140"/>
      <c r="G49" s="1"/>
      <c r="H49" s="138"/>
      <c r="I49" s="1"/>
      <c r="J49" s="138"/>
      <c r="K49" s="1"/>
      <c r="L49" s="1"/>
    </row>
    <row r="50" ht="12.75" customHeight="1">
      <c r="A50" s="1" t="s">
        <v>272</v>
      </c>
      <c r="B50" s="138"/>
      <c r="C50" s="1"/>
      <c r="D50" s="138"/>
      <c r="E50" s="1"/>
      <c r="F50" s="140"/>
      <c r="G50" s="1"/>
      <c r="H50" s="138"/>
      <c r="I50" s="1"/>
      <c r="J50" s="138"/>
      <c r="K50" s="1"/>
      <c r="L50" s="1"/>
    </row>
    <row r="51" ht="12.75" customHeight="1">
      <c r="A51" s="1"/>
      <c r="B51" s="138"/>
      <c r="C51" s="1"/>
      <c r="D51" s="138"/>
      <c r="E51" s="1"/>
      <c r="F51" s="140"/>
      <c r="G51" s="1"/>
      <c r="H51" s="138"/>
      <c r="I51" s="1"/>
      <c r="J51" s="138"/>
      <c r="K51" s="1"/>
      <c r="L51" s="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2018-08-23T11:41:48Z</dcterms:created>
  <dc:creator>Thomas Hoekstra</dc:creator>
</cp:coreProperties>
</file>